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 PC Contraloria\DAF\OFRB 2023 DAF\2023\PRESUPUESTO\EJECUCIÓN PRESUPUESTAL 2023\"/>
    </mc:Choice>
  </mc:AlternateContent>
  <xr:revisionPtr revIDLastSave="0" documentId="13_ncr:1_{7D13B6F9-8E9C-4EB5-B4DF-BEB635182D2C}" xr6:coauthVersionLast="43" xr6:coauthVersionMax="43" xr10:uidLastSave="{00000000-0000-0000-0000-000000000000}"/>
  <bookViews>
    <workbookView xWindow="-120" yWindow="-120" windowWidth="29040" windowHeight="15840" xr2:uid="{6B5177B9-530F-443F-B6CF-168A6C865E36}"/>
  </bookViews>
  <sheets>
    <sheet name="DICIEMBRE" sheetId="1" r:id="rId1"/>
  </sheets>
  <definedNames>
    <definedName name="_xlnm._FilterDatabase" localSheetId="0" hidden="1">DICIEMBRE!$B$7:$AC$263</definedName>
    <definedName name="_xlnm.Print_Area" localSheetId="0">DICIEMBRE!$A$1:$AA$267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255" i="1" l="1"/>
  <c r="X255" i="1"/>
  <c r="W255" i="1"/>
  <c r="Y255" i="1" s="1"/>
  <c r="V255" i="1"/>
  <c r="U255" i="1"/>
  <c r="T255" i="1"/>
  <c r="R255" i="1"/>
  <c r="Q255" i="1"/>
  <c r="P255" i="1"/>
  <c r="N255" i="1"/>
  <c r="M255" i="1"/>
  <c r="O255" i="1" s="1"/>
  <c r="J255" i="1"/>
  <c r="G255" i="1"/>
  <c r="F255" i="1"/>
  <c r="E255" i="1"/>
  <c r="K255" i="1" s="1"/>
  <c r="S255" i="1" s="1"/>
  <c r="Z254" i="1"/>
  <c r="Y254" i="1"/>
  <c r="V254" i="1"/>
  <c r="AA254" i="1" s="1"/>
  <c r="R254" i="1"/>
  <c r="K254" i="1"/>
  <c r="Y253" i="1"/>
  <c r="X253" i="1"/>
  <c r="X252" i="1" s="1"/>
  <c r="X243" i="1" s="1"/>
  <c r="W253" i="1"/>
  <c r="W258" i="1" s="1"/>
  <c r="U253" i="1"/>
  <c r="T253" i="1"/>
  <c r="V253" i="1" s="1"/>
  <c r="Q253" i="1"/>
  <c r="P253" i="1"/>
  <c r="P252" i="1" s="1"/>
  <c r="P243" i="1" s="1"/>
  <c r="O253" i="1"/>
  <c r="N253" i="1"/>
  <c r="M253" i="1"/>
  <c r="K253" i="1"/>
  <c r="J253" i="1"/>
  <c r="I253" i="1"/>
  <c r="H253" i="1"/>
  <c r="G253" i="1"/>
  <c r="G252" i="1" s="1"/>
  <c r="G243" i="1" s="1"/>
  <c r="F253" i="1"/>
  <c r="E253" i="1"/>
  <c r="W252" i="1"/>
  <c r="O252" i="1"/>
  <c r="O243" i="1" s="1"/>
  <c r="N252" i="1"/>
  <c r="J252" i="1"/>
  <c r="I252" i="1"/>
  <c r="F252" i="1"/>
  <c r="E252" i="1"/>
  <c r="Y251" i="1"/>
  <c r="V251" i="1"/>
  <c r="R251" i="1"/>
  <c r="O251" i="1"/>
  <c r="Z247" i="1"/>
  <c r="Y247" i="1"/>
  <c r="AA247" i="1" s="1"/>
  <c r="V247" i="1"/>
  <c r="R247" i="1"/>
  <c r="K247" i="1"/>
  <c r="X245" i="1"/>
  <c r="W245" i="1"/>
  <c r="U245" i="1"/>
  <c r="Z245" i="1" s="1"/>
  <c r="T245" i="1"/>
  <c r="V245" i="1" s="1"/>
  <c r="Q245" i="1"/>
  <c r="R245" i="1" s="1"/>
  <c r="P245" i="1"/>
  <c r="O245" i="1"/>
  <c r="N245" i="1"/>
  <c r="M245" i="1"/>
  <c r="M244" i="1" s="1"/>
  <c r="J245" i="1"/>
  <c r="J244" i="1" s="1"/>
  <c r="I245" i="1"/>
  <c r="H245" i="1"/>
  <c r="H164" i="1" s="1"/>
  <c r="G245" i="1"/>
  <c r="F245" i="1"/>
  <c r="E245" i="1"/>
  <c r="X244" i="1"/>
  <c r="U244" i="1"/>
  <c r="T244" i="1"/>
  <c r="Q244" i="1"/>
  <c r="R244" i="1" s="1"/>
  <c r="P244" i="1"/>
  <c r="N244" i="1"/>
  <c r="I244" i="1"/>
  <c r="G244" i="1"/>
  <c r="E244" i="1"/>
  <c r="N243" i="1"/>
  <c r="I243" i="1"/>
  <c r="E243" i="1"/>
  <c r="Y242" i="1"/>
  <c r="V242" i="1"/>
  <c r="Q242" i="1"/>
  <c r="R242" i="1" s="1"/>
  <c r="N242" i="1"/>
  <c r="O242" i="1" s="1"/>
  <c r="Z241" i="1"/>
  <c r="Y241" i="1"/>
  <c r="V241" i="1"/>
  <c r="AA241" i="1" s="1"/>
  <c r="Q241" i="1"/>
  <c r="R241" i="1" s="1"/>
  <c r="N241" i="1"/>
  <c r="O241" i="1" s="1"/>
  <c r="G240" i="1"/>
  <c r="AA239" i="1"/>
  <c r="Z239" i="1"/>
  <c r="Y238" i="1"/>
  <c r="X238" i="1"/>
  <c r="W238" i="1"/>
  <c r="U238" i="1"/>
  <c r="Z238" i="1" s="1"/>
  <c r="T238" i="1"/>
  <c r="Q238" i="1"/>
  <c r="P238" i="1"/>
  <c r="M238" i="1"/>
  <c r="G238" i="1"/>
  <c r="F238" i="1"/>
  <c r="K238" i="1" s="1"/>
  <c r="AA237" i="1"/>
  <c r="Z237" i="1"/>
  <c r="Y237" i="1"/>
  <c r="V237" i="1"/>
  <c r="R237" i="1"/>
  <c r="Q237" i="1"/>
  <c r="O237" i="1"/>
  <c r="N237" i="1"/>
  <c r="AA236" i="1"/>
  <c r="Z236" i="1"/>
  <c r="Y236" i="1"/>
  <c r="V236" i="1"/>
  <c r="R236" i="1"/>
  <c r="Q236" i="1"/>
  <c r="O236" i="1"/>
  <c r="N236" i="1"/>
  <c r="X232" i="1"/>
  <c r="W232" i="1"/>
  <c r="Y232" i="1" s="1"/>
  <c r="U232" i="1"/>
  <c r="Z232" i="1" s="1"/>
  <c r="T232" i="1"/>
  <c r="V232" i="1" s="1"/>
  <c r="AA232" i="1" s="1"/>
  <c r="Q232" i="1"/>
  <c r="P232" i="1"/>
  <c r="R232" i="1" s="1"/>
  <c r="O232" i="1"/>
  <c r="N232" i="1"/>
  <c r="M232" i="1"/>
  <c r="J232" i="1"/>
  <c r="F232" i="1"/>
  <c r="E232" i="1"/>
  <c r="Y231" i="1"/>
  <c r="V231" i="1"/>
  <c r="R231" i="1"/>
  <c r="O231" i="1"/>
  <c r="Y230" i="1"/>
  <c r="V230" i="1"/>
  <c r="U230" i="1"/>
  <c r="R230" i="1"/>
  <c r="O230" i="1"/>
  <c r="Y227" i="1"/>
  <c r="X227" i="1"/>
  <c r="W227" i="1"/>
  <c r="U227" i="1"/>
  <c r="V227" i="1" s="1"/>
  <c r="T227" i="1"/>
  <c r="Q227" i="1"/>
  <c r="P227" i="1"/>
  <c r="R227" i="1" s="1"/>
  <c r="N227" i="1"/>
  <c r="M227" i="1"/>
  <c r="O227" i="1" s="1"/>
  <c r="G227" i="1"/>
  <c r="F227" i="1"/>
  <c r="K227" i="1" s="1"/>
  <c r="S227" i="1" s="1"/>
  <c r="Y226" i="1"/>
  <c r="X226" i="1"/>
  <c r="V226" i="1"/>
  <c r="U226" i="1"/>
  <c r="R226" i="1"/>
  <c r="Q226" i="1"/>
  <c r="O226" i="1"/>
  <c r="N226" i="1"/>
  <c r="Y225" i="1"/>
  <c r="V225" i="1"/>
  <c r="R225" i="1"/>
  <c r="O225" i="1"/>
  <c r="Y224" i="1"/>
  <c r="V224" i="1"/>
  <c r="R224" i="1"/>
  <c r="O224" i="1"/>
  <c r="AA223" i="1"/>
  <c r="AA220" i="1" s="1"/>
  <c r="Z223" i="1"/>
  <c r="Y223" i="1"/>
  <c r="V223" i="1"/>
  <c r="R223" i="1"/>
  <c r="O223" i="1"/>
  <c r="Z220" i="1"/>
  <c r="Y220" i="1"/>
  <c r="X220" i="1"/>
  <c r="W220" i="1"/>
  <c r="U220" i="1"/>
  <c r="T220" i="1"/>
  <c r="V220" i="1" s="1"/>
  <c r="Q220" i="1"/>
  <c r="P220" i="1"/>
  <c r="R220" i="1" s="1"/>
  <c r="N220" i="1"/>
  <c r="M220" i="1"/>
  <c r="O220" i="1" s="1"/>
  <c r="J220" i="1"/>
  <c r="G220" i="1"/>
  <c r="K220" i="1" s="1"/>
  <c r="S220" i="1" s="1"/>
  <c r="R219" i="1"/>
  <c r="O219" i="1"/>
  <c r="V218" i="1"/>
  <c r="R218" i="1"/>
  <c r="AA218" i="1" s="1"/>
  <c r="AA214" i="1" s="1"/>
  <c r="O218" i="1"/>
  <c r="Y217" i="1"/>
  <c r="V217" i="1"/>
  <c r="R217" i="1"/>
  <c r="O217" i="1"/>
  <c r="Y216" i="1"/>
  <c r="V216" i="1"/>
  <c r="R216" i="1"/>
  <c r="O216" i="1"/>
  <c r="G216" i="1"/>
  <c r="G214" i="1" s="1"/>
  <c r="K214" i="1" s="1"/>
  <c r="S214" i="1" s="1"/>
  <c r="Y215" i="1"/>
  <c r="V215" i="1"/>
  <c r="R215" i="1"/>
  <c r="O215" i="1"/>
  <c r="Z214" i="1"/>
  <c r="X214" i="1"/>
  <c r="W214" i="1"/>
  <c r="Y214" i="1" s="1"/>
  <c r="V214" i="1"/>
  <c r="U214" i="1"/>
  <c r="T214" i="1"/>
  <c r="R214" i="1"/>
  <c r="Q214" i="1"/>
  <c r="P214" i="1"/>
  <c r="N214" i="1"/>
  <c r="M214" i="1"/>
  <c r="Y213" i="1"/>
  <c r="V213" i="1"/>
  <c r="R213" i="1"/>
  <c r="O213" i="1"/>
  <c r="AA212" i="1"/>
  <c r="Y212" i="1"/>
  <c r="V212" i="1"/>
  <c r="R212" i="1"/>
  <c r="O212" i="1"/>
  <c r="Y211" i="1"/>
  <c r="V211" i="1"/>
  <c r="R211" i="1"/>
  <c r="O211" i="1"/>
  <c r="Y210" i="1"/>
  <c r="V210" i="1"/>
  <c r="R210" i="1"/>
  <c r="O210" i="1"/>
  <c r="X209" i="1"/>
  <c r="Y209" i="1" s="1"/>
  <c r="U209" i="1"/>
  <c r="R209" i="1"/>
  <c r="O209" i="1"/>
  <c r="Z208" i="1"/>
  <c r="Y208" i="1"/>
  <c r="V208" i="1"/>
  <c r="AA208" i="1" s="1"/>
  <c r="R208" i="1"/>
  <c r="O208" i="1"/>
  <c r="Y207" i="1"/>
  <c r="V207" i="1"/>
  <c r="R207" i="1"/>
  <c r="O207" i="1"/>
  <c r="Y206" i="1"/>
  <c r="V206" i="1"/>
  <c r="R206" i="1"/>
  <c r="O206" i="1"/>
  <c r="Z205" i="1"/>
  <c r="Y205" i="1"/>
  <c r="V205" i="1"/>
  <c r="AA205" i="1" s="1"/>
  <c r="R205" i="1"/>
  <c r="O205" i="1"/>
  <c r="Z204" i="1"/>
  <c r="Y204" i="1"/>
  <c r="V204" i="1"/>
  <c r="AA204" i="1" s="1"/>
  <c r="R204" i="1"/>
  <c r="O204" i="1"/>
  <c r="Y203" i="1"/>
  <c r="V203" i="1"/>
  <c r="R203" i="1"/>
  <c r="O203" i="1"/>
  <c r="Z202" i="1"/>
  <c r="Y202" i="1"/>
  <c r="V202" i="1"/>
  <c r="AA202" i="1" s="1"/>
  <c r="R202" i="1"/>
  <c r="O202" i="1"/>
  <c r="Z201" i="1"/>
  <c r="Y201" i="1"/>
  <c r="V201" i="1"/>
  <c r="AA201" i="1" s="1"/>
  <c r="R201" i="1"/>
  <c r="O201" i="1"/>
  <c r="Z200" i="1"/>
  <c r="Y200" i="1"/>
  <c r="V200" i="1"/>
  <c r="AA200" i="1" s="1"/>
  <c r="R200" i="1"/>
  <c r="O200" i="1"/>
  <c r="Z199" i="1"/>
  <c r="Y199" i="1"/>
  <c r="V199" i="1"/>
  <c r="AA199" i="1" s="1"/>
  <c r="R199" i="1"/>
  <c r="O199" i="1"/>
  <c r="Z198" i="1"/>
  <c r="Y198" i="1"/>
  <c r="V198" i="1"/>
  <c r="AA198" i="1" s="1"/>
  <c r="R198" i="1"/>
  <c r="O198" i="1"/>
  <c r="Z197" i="1"/>
  <c r="Y197" i="1"/>
  <c r="V197" i="1"/>
  <c r="AA197" i="1" s="1"/>
  <c r="R197" i="1"/>
  <c r="O197" i="1"/>
  <c r="Z196" i="1"/>
  <c r="Y196" i="1"/>
  <c r="V196" i="1"/>
  <c r="AA196" i="1" s="1"/>
  <c r="R196" i="1"/>
  <c r="O196" i="1"/>
  <c r="Y195" i="1"/>
  <c r="V195" i="1"/>
  <c r="Z195" i="1" s="1"/>
  <c r="Z180" i="1" s="1"/>
  <c r="R195" i="1"/>
  <c r="O195" i="1"/>
  <c r="AA194" i="1"/>
  <c r="Z194" i="1"/>
  <c r="Y194" i="1"/>
  <c r="V194" i="1"/>
  <c r="R194" i="1"/>
  <c r="O194" i="1"/>
  <c r="Z193" i="1"/>
  <c r="Y193" i="1"/>
  <c r="AA193" i="1" s="1"/>
  <c r="V193" i="1"/>
  <c r="R193" i="1"/>
  <c r="O193" i="1"/>
  <c r="AA192" i="1"/>
  <c r="Z192" i="1"/>
  <c r="Y192" i="1"/>
  <c r="V192" i="1"/>
  <c r="R192" i="1"/>
  <c r="O192" i="1"/>
  <c r="Y191" i="1"/>
  <c r="V191" i="1"/>
  <c r="R191" i="1"/>
  <c r="O191" i="1"/>
  <c r="Z190" i="1"/>
  <c r="Y190" i="1"/>
  <c r="AA190" i="1" s="1"/>
  <c r="V190" i="1"/>
  <c r="R190" i="1"/>
  <c r="O190" i="1"/>
  <c r="AA189" i="1"/>
  <c r="Z189" i="1"/>
  <c r="Y189" i="1"/>
  <c r="V189" i="1"/>
  <c r="R189" i="1"/>
  <c r="O189" i="1"/>
  <c r="Z188" i="1"/>
  <c r="Y188" i="1"/>
  <c r="AA188" i="1" s="1"/>
  <c r="V188" i="1"/>
  <c r="R188" i="1"/>
  <c r="O188" i="1"/>
  <c r="AA187" i="1"/>
  <c r="Z187" i="1"/>
  <c r="Y187" i="1"/>
  <c r="V187" i="1"/>
  <c r="R187" i="1"/>
  <c r="O187" i="1"/>
  <c r="Y186" i="1"/>
  <c r="V186" i="1"/>
  <c r="R186" i="1"/>
  <c r="O186" i="1"/>
  <c r="Z185" i="1"/>
  <c r="Y185" i="1"/>
  <c r="AA185" i="1" s="1"/>
  <c r="V185" i="1"/>
  <c r="R185" i="1"/>
  <c r="O185" i="1"/>
  <c r="AA184" i="1"/>
  <c r="Z184" i="1"/>
  <c r="Y184" i="1"/>
  <c r="V184" i="1"/>
  <c r="R184" i="1"/>
  <c r="O184" i="1"/>
  <c r="AA182" i="1"/>
  <c r="Z182" i="1"/>
  <c r="O182" i="1"/>
  <c r="G182" i="1"/>
  <c r="W180" i="1"/>
  <c r="T180" i="1"/>
  <c r="Q180" i="1"/>
  <c r="R180" i="1" s="1"/>
  <c r="P180" i="1"/>
  <c r="N180" i="1"/>
  <c r="M180" i="1"/>
  <c r="O180" i="1" s="1"/>
  <c r="J180" i="1"/>
  <c r="G180" i="1"/>
  <c r="F180" i="1"/>
  <c r="K180" i="1" s="1"/>
  <c r="S180" i="1" s="1"/>
  <c r="Z179" i="1"/>
  <c r="Y179" i="1"/>
  <c r="V179" i="1"/>
  <c r="AA179" i="1" s="1"/>
  <c r="P179" i="1"/>
  <c r="R179" i="1" s="1"/>
  <c r="O179" i="1"/>
  <c r="Z178" i="1"/>
  <c r="Y178" i="1"/>
  <c r="V178" i="1"/>
  <c r="AA178" i="1" s="1"/>
  <c r="P178" i="1"/>
  <c r="R178" i="1" s="1"/>
  <c r="O178" i="1"/>
  <c r="H178" i="1"/>
  <c r="R177" i="1"/>
  <c r="O177" i="1"/>
  <c r="Z172" i="1"/>
  <c r="X172" i="1"/>
  <c r="W172" i="1"/>
  <c r="Y172" i="1" s="1"/>
  <c r="V172" i="1"/>
  <c r="U172" i="1"/>
  <c r="T172" i="1"/>
  <c r="R172" i="1"/>
  <c r="Q172" i="1"/>
  <c r="P172" i="1"/>
  <c r="N172" i="1"/>
  <c r="O172" i="1" s="1"/>
  <c r="M172" i="1"/>
  <c r="J172" i="1"/>
  <c r="G172" i="1"/>
  <c r="F172" i="1"/>
  <c r="K172" i="1" s="1"/>
  <c r="S172" i="1" s="1"/>
  <c r="Y171" i="1"/>
  <c r="V171" i="1"/>
  <c r="R171" i="1"/>
  <c r="O171" i="1"/>
  <c r="Y170" i="1"/>
  <c r="V170" i="1"/>
  <c r="R170" i="1"/>
  <c r="O170" i="1"/>
  <c r="Y169" i="1"/>
  <c r="V169" i="1"/>
  <c r="R169" i="1"/>
  <c r="O169" i="1"/>
  <c r="Y168" i="1"/>
  <c r="V168" i="1"/>
  <c r="R168" i="1"/>
  <c r="O168" i="1"/>
  <c r="Y167" i="1"/>
  <c r="V167" i="1"/>
  <c r="Q167" i="1"/>
  <c r="O167" i="1"/>
  <c r="N167" i="1"/>
  <c r="F166" i="1"/>
  <c r="F164" i="1" s="1"/>
  <c r="K164" i="1" s="1"/>
  <c r="S164" i="1" s="1"/>
  <c r="Z164" i="1"/>
  <c r="X164" i="1"/>
  <c r="W164" i="1"/>
  <c r="U164" i="1"/>
  <c r="T164" i="1"/>
  <c r="V164" i="1" s="1"/>
  <c r="Q164" i="1"/>
  <c r="P164" i="1"/>
  <c r="R164" i="1" s="1"/>
  <c r="N164" i="1"/>
  <c r="O164" i="1" s="1"/>
  <c r="M164" i="1"/>
  <c r="G164" i="1"/>
  <c r="Y163" i="1"/>
  <c r="V163" i="1"/>
  <c r="R163" i="1"/>
  <c r="O163" i="1"/>
  <c r="Y162" i="1"/>
  <c r="V162" i="1"/>
  <c r="R162" i="1"/>
  <c r="O162" i="1"/>
  <c r="Z161" i="1"/>
  <c r="Y161" i="1"/>
  <c r="V161" i="1"/>
  <c r="AA161" i="1" s="1"/>
  <c r="Q161" i="1"/>
  <c r="R161" i="1" s="1"/>
  <c r="N161" i="1"/>
  <c r="Z160" i="1"/>
  <c r="Y160" i="1"/>
  <c r="AA160" i="1" s="1"/>
  <c r="V160" i="1"/>
  <c r="R160" i="1"/>
  <c r="O160" i="1"/>
  <c r="Z159" i="1"/>
  <c r="Z156" i="1" s="1"/>
  <c r="Y159" i="1"/>
  <c r="V159" i="1"/>
  <c r="AA159" i="1" s="1"/>
  <c r="R159" i="1"/>
  <c r="O159" i="1"/>
  <c r="X156" i="1"/>
  <c r="W156" i="1"/>
  <c r="U156" i="1"/>
  <c r="T156" i="1"/>
  <c r="V156" i="1" s="1"/>
  <c r="Q156" i="1"/>
  <c r="R156" i="1" s="1"/>
  <c r="P156" i="1"/>
  <c r="M156" i="1"/>
  <c r="J156" i="1"/>
  <c r="G156" i="1"/>
  <c r="F156" i="1"/>
  <c r="T155" i="1"/>
  <c r="P155" i="1"/>
  <c r="I155" i="1"/>
  <c r="G155" i="1"/>
  <c r="E155" i="1"/>
  <c r="V154" i="1"/>
  <c r="Z154" i="1" s="1"/>
  <c r="Q154" i="1"/>
  <c r="O154" i="1"/>
  <c r="Y153" i="1"/>
  <c r="V153" i="1"/>
  <c r="R153" i="1"/>
  <c r="O153" i="1"/>
  <c r="Y152" i="1"/>
  <c r="V152" i="1"/>
  <c r="R152" i="1"/>
  <c r="O152" i="1"/>
  <c r="Y151" i="1"/>
  <c r="V151" i="1"/>
  <c r="R151" i="1"/>
  <c r="O151" i="1"/>
  <c r="Y150" i="1"/>
  <c r="V150" i="1"/>
  <c r="R150" i="1"/>
  <c r="O150" i="1"/>
  <c r="Y149" i="1"/>
  <c r="V149" i="1"/>
  <c r="R149" i="1"/>
  <c r="O149" i="1"/>
  <c r="Y148" i="1"/>
  <c r="V148" i="1"/>
  <c r="R148" i="1"/>
  <c r="O148" i="1"/>
  <c r="Y147" i="1"/>
  <c r="V147" i="1"/>
  <c r="R147" i="1"/>
  <c r="O147" i="1"/>
  <c r="Y146" i="1"/>
  <c r="V146" i="1"/>
  <c r="R146" i="1"/>
  <c r="O146" i="1"/>
  <c r="Y145" i="1"/>
  <c r="V145" i="1"/>
  <c r="R145" i="1"/>
  <c r="O145" i="1"/>
  <c r="Y144" i="1"/>
  <c r="V144" i="1"/>
  <c r="R144" i="1"/>
  <c r="O144" i="1"/>
  <c r="Y143" i="1"/>
  <c r="V143" i="1"/>
  <c r="R143" i="1"/>
  <c r="O143" i="1"/>
  <c r="Y142" i="1"/>
  <c r="V142" i="1"/>
  <c r="R142" i="1"/>
  <c r="O142" i="1"/>
  <c r="Y141" i="1"/>
  <c r="V141" i="1"/>
  <c r="R141" i="1"/>
  <c r="O141" i="1"/>
  <c r="Y140" i="1"/>
  <c r="V140" i="1"/>
  <c r="R140" i="1"/>
  <c r="O140" i="1"/>
  <c r="Y139" i="1"/>
  <c r="V139" i="1"/>
  <c r="R139" i="1"/>
  <c r="O139" i="1"/>
  <c r="Y138" i="1"/>
  <c r="V138" i="1"/>
  <c r="R138" i="1"/>
  <c r="O138" i="1"/>
  <c r="Y137" i="1"/>
  <c r="V137" i="1"/>
  <c r="R137" i="1"/>
  <c r="O137" i="1"/>
  <c r="Z136" i="1"/>
  <c r="Y136" i="1"/>
  <c r="AA136" i="1" s="1"/>
  <c r="V136" i="1"/>
  <c r="R136" i="1"/>
  <c r="O136" i="1"/>
  <c r="X131" i="1"/>
  <c r="Z131" i="1" s="1"/>
  <c r="W131" i="1"/>
  <c r="V131" i="1"/>
  <c r="U131" i="1"/>
  <c r="T131" i="1"/>
  <c r="P131" i="1"/>
  <c r="N131" i="1"/>
  <c r="M131" i="1"/>
  <c r="O131" i="1" s="1"/>
  <c r="J131" i="1"/>
  <c r="G131" i="1"/>
  <c r="F131" i="1"/>
  <c r="Y130" i="1"/>
  <c r="V130" i="1"/>
  <c r="R130" i="1"/>
  <c r="O130" i="1"/>
  <c r="Y129" i="1"/>
  <c r="V129" i="1"/>
  <c r="R129" i="1"/>
  <c r="O129" i="1"/>
  <c r="Y128" i="1"/>
  <c r="V128" i="1"/>
  <c r="R128" i="1"/>
  <c r="O128" i="1"/>
  <c r="Y127" i="1"/>
  <c r="V127" i="1"/>
  <c r="R127" i="1"/>
  <c r="O127" i="1"/>
  <c r="Y126" i="1"/>
  <c r="V126" i="1"/>
  <c r="R126" i="1"/>
  <c r="O126" i="1"/>
  <c r="Y125" i="1"/>
  <c r="V125" i="1"/>
  <c r="R125" i="1"/>
  <c r="O125" i="1"/>
  <c r="Y124" i="1"/>
  <c r="V124" i="1"/>
  <c r="R124" i="1"/>
  <c r="O124" i="1"/>
  <c r="Y123" i="1"/>
  <c r="V123" i="1"/>
  <c r="R123" i="1"/>
  <c r="O123" i="1"/>
  <c r="Y122" i="1"/>
  <c r="V122" i="1"/>
  <c r="R122" i="1"/>
  <c r="O122" i="1"/>
  <c r="Y121" i="1"/>
  <c r="V121" i="1"/>
  <c r="R121" i="1"/>
  <c r="O121" i="1"/>
  <c r="Y120" i="1"/>
  <c r="V120" i="1"/>
  <c r="R120" i="1"/>
  <c r="O120" i="1"/>
  <c r="Y119" i="1"/>
  <c r="V119" i="1"/>
  <c r="R119" i="1"/>
  <c r="O119" i="1"/>
  <c r="Y118" i="1"/>
  <c r="V118" i="1"/>
  <c r="R118" i="1"/>
  <c r="O118" i="1"/>
  <c r="Y117" i="1"/>
  <c r="V117" i="1"/>
  <c r="R117" i="1"/>
  <c r="O117" i="1"/>
  <c r="Y116" i="1"/>
  <c r="V116" i="1"/>
  <c r="R116" i="1"/>
  <c r="O116" i="1"/>
  <c r="Y115" i="1"/>
  <c r="V115" i="1"/>
  <c r="R115" i="1"/>
  <c r="O115" i="1"/>
  <c r="Y114" i="1"/>
  <c r="V114" i="1"/>
  <c r="R114" i="1"/>
  <c r="O114" i="1"/>
  <c r="Y113" i="1"/>
  <c r="V113" i="1"/>
  <c r="R113" i="1"/>
  <c r="O113" i="1"/>
  <c r="Y112" i="1"/>
  <c r="V112" i="1"/>
  <c r="R112" i="1"/>
  <c r="O112" i="1"/>
  <c r="Y111" i="1"/>
  <c r="V111" i="1"/>
  <c r="R111" i="1"/>
  <c r="O111" i="1"/>
  <c r="Y110" i="1"/>
  <c r="V110" i="1"/>
  <c r="R110" i="1"/>
  <c r="O110" i="1"/>
  <c r="Y109" i="1"/>
  <c r="V109" i="1"/>
  <c r="R109" i="1"/>
  <c r="O109" i="1"/>
  <c r="Y108" i="1"/>
  <c r="V108" i="1"/>
  <c r="R108" i="1"/>
  <c r="O108" i="1"/>
  <c r="Y107" i="1"/>
  <c r="V107" i="1"/>
  <c r="R107" i="1"/>
  <c r="O107" i="1"/>
  <c r="Y106" i="1"/>
  <c r="V106" i="1"/>
  <c r="R106" i="1"/>
  <c r="O106" i="1"/>
  <c r="Y105" i="1"/>
  <c r="V105" i="1"/>
  <c r="R105" i="1"/>
  <c r="O105" i="1"/>
  <c r="Y104" i="1"/>
  <c r="V104" i="1"/>
  <c r="R104" i="1"/>
  <c r="O104" i="1"/>
  <c r="Y103" i="1"/>
  <c r="V103" i="1"/>
  <c r="R103" i="1"/>
  <c r="O103" i="1"/>
  <c r="Y102" i="1"/>
  <c r="V102" i="1"/>
  <c r="R102" i="1"/>
  <c r="O102" i="1"/>
  <c r="Y101" i="1"/>
  <c r="V101" i="1"/>
  <c r="R101" i="1"/>
  <c r="O101" i="1"/>
  <c r="Y100" i="1"/>
  <c r="V100" i="1"/>
  <c r="R100" i="1"/>
  <c r="O100" i="1"/>
  <c r="Y99" i="1"/>
  <c r="V99" i="1"/>
  <c r="R99" i="1"/>
  <c r="O99" i="1"/>
  <c r="Y98" i="1"/>
  <c r="V98" i="1"/>
  <c r="R98" i="1"/>
  <c r="O98" i="1"/>
  <c r="Y97" i="1"/>
  <c r="V97" i="1"/>
  <c r="R97" i="1"/>
  <c r="O97" i="1"/>
  <c r="Y96" i="1"/>
  <c r="V96" i="1"/>
  <c r="R96" i="1"/>
  <c r="O96" i="1"/>
  <c r="Y95" i="1"/>
  <c r="V95" i="1"/>
  <c r="R95" i="1"/>
  <c r="O95" i="1"/>
  <c r="Y94" i="1"/>
  <c r="V94" i="1"/>
  <c r="R94" i="1"/>
  <c r="O94" i="1"/>
  <c r="Y93" i="1"/>
  <c r="V93" i="1"/>
  <c r="R93" i="1"/>
  <c r="O93" i="1"/>
  <c r="Y92" i="1"/>
  <c r="V92" i="1"/>
  <c r="R92" i="1"/>
  <c r="O92" i="1"/>
  <c r="Y91" i="1"/>
  <c r="V91" i="1"/>
  <c r="R91" i="1"/>
  <c r="O91" i="1"/>
  <c r="Y90" i="1"/>
  <c r="V90" i="1"/>
  <c r="R90" i="1"/>
  <c r="O90" i="1"/>
  <c r="Y89" i="1"/>
  <c r="V89" i="1"/>
  <c r="R89" i="1"/>
  <c r="O89" i="1"/>
  <c r="AA88" i="1"/>
  <c r="Y88" i="1"/>
  <c r="V88" i="1"/>
  <c r="R88" i="1"/>
  <c r="O88" i="1"/>
  <c r="Y87" i="1"/>
  <c r="V87" i="1"/>
  <c r="R87" i="1"/>
  <c r="O87" i="1"/>
  <c r="Y86" i="1"/>
  <c r="V86" i="1"/>
  <c r="R86" i="1"/>
  <c r="O86" i="1"/>
  <c r="Y85" i="1"/>
  <c r="V85" i="1"/>
  <c r="R85" i="1"/>
  <c r="O85" i="1"/>
  <c r="Y84" i="1"/>
  <c r="V84" i="1"/>
  <c r="R84" i="1"/>
  <c r="O84" i="1"/>
  <c r="Y83" i="1"/>
  <c r="V83" i="1"/>
  <c r="R83" i="1"/>
  <c r="O83" i="1"/>
  <c r="Y82" i="1"/>
  <c r="V82" i="1"/>
  <c r="R82" i="1"/>
  <c r="O82" i="1"/>
  <c r="Y81" i="1"/>
  <c r="V81" i="1"/>
  <c r="R81" i="1"/>
  <c r="O81" i="1"/>
  <c r="Y80" i="1"/>
  <c r="V80" i="1"/>
  <c r="R80" i="1"/>
  <c r="O80" i="1"/>
  <c r="Y79" i="1"/>
  <c r="V79" i="1"/>
  <c r="R79" i="1"/>
  <c r="O79" i="1"/>
  <c r="Y78" i="1"/>
  <c r="V78" i="1"/>
  <c r="R78" i="1"/>
  <c r="O78" i="1"/>
  <c r="Y77" i="1"/>
  <c r="V77" i="1"/>
  <c r="R77" i="1"/>
  <c r="O77" i="1"/>
  <c r="Y76" i="1"/>
  <c r="V76" i="1"/>
  <c r="R76" i="1"/>
  <c r="O76" i="1"/>
  <c r="Y75" i="1"/>
  <c r="V75" i="1"/>
  <c r="R75" i="1"/>
  <c r="O75" i="1"/>
  <c r="Y74" i="1"/>
  <c r="V74" i="1"/>
  <c r="R74" i="1"/>
  <c r="O74" i="1"/>
  <c r="Y73" i="1"/>
  <c r="V73" i="1"/>
  <c r="R73" i="1"/>
  <c r="O73" i="1"/>
  <c r="Y72" i="1"/>
  <c r="V72" i="1"/>
  <c r="R72" i="1"/>
  <c r="O72" i="1"/>
  <c r="Y71" i="1"/>
  <c r="V71" i="1"/>
  <c r="R71" i="1"/>
  <c r="O71" i="1"/>
  <c r="Y70" i="1"/>
  <c r="V70" i="1"/>
  <c r="R70" i="1"/>
  <c r="O70" i="1"/>
  <c r="Y69" i="1"/>
  <c r="V69" i="1"/>
  <c r="R69" i="1"/>
  <c r="O69" i="1"/>
  <c r="Y68" i="1"/>
  <c r="V68" i="1"/>
  <c r="R68" i="1"/>
  <c r="O68" i="1"/>
  <c r="Y67" i="1"/>
  <c r="V67" i="1"/>
  <c r="R67" i="1"/>
  <c r="O67" i="1"/>
  <c r="Y66" i="1"/>
  <c r="V66" i="1"/>
  <c r="R66" i="1"/>
  <c r="O66" i="1"/>
  <c r="Z65" i="1"/>
  <c r="Y65" i="1"/>
  <c r="V65" i="1"/>
  <c r="R65" i="1"/>
  <c r="O65" i="1"/>
  <c r="Z64" i="1"/>
  <c r="Z60" i="1" s="1"/>
  <c r="Y64" i="1"/>
  <c r="V64" i="1"/>
  <c r="R64" i="1"/>
  <c r="O64" i="1"/>
  <c r="F61" i="1"/>
  <c r="AA60" i="1"/>
  <c r="Y60" i="1"/>
  <c r="X60" i="1"/>
  <c r="W60" i="1"/>
  <c r="W41" i="1" s="1"/>
  <c r="U60" i="1"/>
  <c r="U41" i="1" s="1"/>
  <c r="T60" i="1"/>
  <c r="V60" i="1" s="1"/>
  <c r="Q60" i="1"/>
  <c r="P60" i="1"/>
  <c r="O60" i="1"/>
  <c r="N60" i="1"/>
  <c r="M60" i="1"/>
  <c r="M41" i="1" s="1"/>
  <c r="J60" i="1"/>
  <c r="I60" i="1"/>
  <c r="H60" i="1"/>
  <c r="G60" i="1"/>
  <c r="F60" i="1"/>
  <c r="K60" i="1" s="1"/>
  <c r="Y59" i="1"/>
  <c r="V59" i="1"/>
  <c r="R59" i="1"/>
  <c r="O59" i="1"/>
  <c r="Y58" i="1"/>
  <c r="V58" i="1"/>
  <c r="R58" i="1"/>
  <c r="O58" i="1"/>
  <c r="Y57" i="1"/>
  <c r="V57" i="1"/>
  <c r="R57" i="1"/>
  <c r="O57" i="1"/>
  <c r="Y56" i="1"/>
  <c r="V56" i="1"/>
  <c r="R56" i="1"/>
  <c r="O56" i="1"/>
  <c r="Y55" i="1"/>
  <c r="V55" i="1"/>
  <c r="R55" i="1"/>
  <c r="O55" i="1"/>
  <c r="Z54" i="1"/>
  <c r="Y54" i="1"/>
  <c r="V54" i="1"/>
  <c r="AA54" i="1" s="1"/>
  <c r="R54" i="1"/>
  <c r="O54" i="1"/>
  <c r="Y53" i="1"/>
  <c r="V53" i="1"/>
  <c r="R53" i="1"/>
  <c r="O53" i="1"/>
  <c r="Z52" i="1"/>
  <c r="Y52" i="1"/>
  <c r="V52" i="1"/>
  <c r="AA52" i="1" s="1"/>
  <c r="R52" i="1"/>
  <c r="O52" i="1"/>
  <c r="Z51" i="1"/>
  <c r="Y51" i="1"/>
  <c r="V51" i="1"/>
  <c r="AA51" i="1" s="1"/>
  <c r="R51" i="1"/>
  <c r="O51" i="1"/>
  <c r="Y50" i="1"/>
  <c r="V50" i="1"/>
  <c r="R50" i="1"/>
  <c r="O50" i="1"/>
  <c r="Y49" i="1"/>
  <c r="V49" i="1"/>
  <c r="R49" i="1"/>
  <c r="O49" i="1"/>
  <c r="Y48" i="1"/>
  <c r="V48" i="1"/>
  <c r="R48" i="1"/>
  <c r="O48" i="1"/>
  <c r="Z47" i="1"/>
  <c r="Y47" i="1"/>
  <c r="V47" i="1"/>
  <c r="AA47" i="1" s="1"/>
  <c r="R47" i="1"/>
  <c r="O47" i="1"/>
  <c r="Z46" i="1"/>
  <c r="Z42" i="1" s="1"/>
  <c r="Y46" i="1"/>
  <c r="V46" i="1"/>
  <c r="AA46" i="1" s="1"/>
  <c r="R46" i="1"/>
  <c r="O46" i="1"/>
  <c r="Z45" i="1"/>
  <c r="Y45" i="1"/>
  <c r="V45" i="1"/>
  <c r="AA45" i="1" s="1"/>
  <c r="R45" i="1"/>
  <c r="O45" i="1"/>
  <c r="X42" i="1"/>
  <c r="X41" i="1" s="1"/>
  <c r="W42" i="1"/>
  <c r="Y42" i="1" s="1"/>
  <c r="U42" i="1"/>
  <c r="T42" i="1"/>
  <c r="V42" i="1" s="1"/>
  <c r="R42" i="1"/>
  <c r="Q42" i="1"/>
  <c r="P42" i="1"/>
  <c r="P41" i="1" s="1"/>
  <c r="P40" i="1" s="1"/>
  <c r="P39" i="1" s="1"/>
  <c r="N42" i="1"/>
  <c r="M42" i="1"/>
  <c r="O42" i="1" s="1"/>
  <c r="G42" i="1"/>
  <c r="F42" i="1"/>
  <c r="K42" i="1" s="1"/>
  <c r="Z41" i="1"/>
  <c r="V41" i="1"/>
  <c r="T41" i="1"/>
  <c r="N41" i="1"/>
  <c r="J41" i="1"/>
  <c r="G41" i="1"/>
  <c r="F41" i="1"/>
  <c r="E41" i="1"/>
  <c r="E40" i="1" s="1"/>
  <c r="E39" i="1" s="1"/>
  <c r="I40" i="1"/>
  <c r="G40" i="1"/>
  <c r="G39" i="1" s="1"/>
  <c r="I39" i="1"/>
  <c r="AA38" i="1"/>
  <c r="Z38" i="1"/>
  <c r="Y38" i="1"/>
  <c r="V38" i="1"/>
  <c r="S38" i="1"/>
  <c r="R38" i="1"/>
  <c r="O38" i="1"/>
  <c r="G38" i="1"/>
  <c r="K38" i="1" s="1"/>
  <c r="K35" i="1" s="1"/>
  <c r="Y37" i="1"/>
  <c r="V37" i="1"/>
  <c r="R37" i="1"/>
  <c r="O37" i="1"/>
  <c r="K37" i="1"/>
  <c r="S37" i="1" s="1"/>
  <c r="Z36" i="1"/>
  <c r="X36" i="1"/>
  <c r="Y36" i="1" s="1"/>
  <c r="U36" i="1"/>
  <c r="R36" i="1"/>
  <c r="Q36" i="1"/>
  <c r="Q35" i="1" s="1"/>
  <c r="R35" i="1" s="1"/>
  <c r="O36" i="1"/>
  <c r="N36" i="1"/>
  <c r="K36" i="1"/>
  <c r="S36" i="1" s="1"/>
  <c r="Z35" i="1"/>
  <c r="X35" i="1"/>
  <c r="X34" i="1" s="1"/>
  <c r="W35" i="1"/>
  <c r="Y35" i="1" s="1"/>
  <c r="T35" i="1"/>
  <c r="T34" i="1" s="1"/>
  <c r="P35" i="1"/>
  <c r="P34" i="1" s="1"/>
  <c r="N35" i="1"/>
  <c r="M35" i="1"/>
  <c r="J35" i="1"/>
  <c r="G35" i="1"/>
  <c r="G34" i="1" s="1"/>
  <c r="E35" i="1"/>
  <c r="Y34" i="1"/>
  <c r="W34" i="1"/>
  <c r="Q34" i="1"/>
  <c r="M34" i="1"/>
  <c r="J34" i="1"/>
  <c r="E34" i="1"/>
  <c r="Z33" i="1"/>
  <c r="Y33" i="1"/>
  <c r="V33" i="1"/>
  <c r="AA33" i="1" s="1"/>
  <c r="R33" i="1"/>
  <c r="O33" i="1"/>
  <c r="K33" i="1"/>
  <c r="S33" i="1" s="1"/>
  <c r="Z32" i="1"/>
  <c r="Y32" i="1"/>
  <c r="AA32" i="1" s="1"/>
  <c r="V32" i="1"/>
  <c r="R32" i="1"/>
  <c r="O32" i="1"/>
  <c r="G32" i="1"/>
  <c r="K32" i="1" s="1"/>
  <c r="S32" i="1" s="1"/>
  <c r="AA31" i="1"/>
  <c r="Z31" i="1"/>
  <c r="Y31" i="1"/>
  <c r="V31" i="1"/>
  <c r="S31" i="1"/>
  <c r="R31" i="1"/>
  <c r="O31" i="1"/>
  <c r="K31" i="1"/>
  <c r="G31" i="1"/>
  <c r="Z30" i="1"/>
  <c r="Y30" i="1"/>
  <c r="AA30" i="1" s="1"/>
  <c r="V30" i="1"/>
  <c r="R30" i="1"/>
  <c r="O30" i="1"/>
  <c r="G30" i="1"/>
  <c r="K30" i="1" s="1"/>
  <c r="S30" i="1" s="1"/>
  <c r="AA29" i="1"/>
  <c r="Z29" i="1"/>
  <c r="Y29" i="1"/>
  <c r="V29" i="1"/>
  <c r="S29" i="1"/>
  <c r="R29" i="1"/>
  <c r="O29" i="1"/>
  <c r="K29" i="1"/>
  <c r="Z28" i="1"/>
  <c r="Y28" i="1"/>
  <c r="V28" i="1"/>
  <c r="AA28" i="1" s="1"/>
  <c r="R28" i="1"/>
  <c r="O28" i="1"/>
  <c r="K28" i="1"/>
  <c r="S28" i="1" s="1"/>
  <c r="Z27" i="1"/>
  <c r="Y27" i="1"/>
  <c r="AA27" i="1" s="1"/>
  <c r="AA23" i="1" s="1"/>
  <c r="V27" i="1"/>
  <c r="Q27" i="1"/>
  <c r="N27" i="1"/>
  <c r="O27" i="1" s="1"/>
  <c r="K27" i="1"/>
  <c r="Y26" i="1"/>
  <c r="V26" i="1"/>
  <c r="R26" i="1"/>
  <c r="O26" i="1"/>
  <c r="K26" i="1"/>
  <c r="Z25" i="1"/>
  <c r="Y25" i="1"/>
  <c r="V25" i="1"/>
  <c r="AA25" i="1" s="1"/>
  <c r="R25" i="1"/>
  <c r="O25" i="1"/>
  <c r="K25" i="1"/>
  <c r="S25" i="1" s="1"/>
  <c r="Z24" i="1"/>
  <c r="Z23" i="1" s="1"/>
  <c r="Y24" i="1"/>
  <c r="V24" i="1"/>
  <c r="U24" i="1"/>
  <c r="Q24" i="1"/>
  <c r="R24" i="1" s="1"/>
  <c r="N24" i="1"/>
  <c r="F24" i="1"/>
  <c r="K24" i="1" s="1"/>
  <c r="S24" i="1" s="1"/>
  <c r="X23" i="1"/>
  <c r="W23" i="1"/>
  <c r="U23" i="1"/>
  <c r="T23" i="1"/>
  <c r="V23" i="1" s="1"/>
  <c r="P23" i="1"/>
  <c r="M23" i="1"/>
  <c r="J23" i="1"/>
  <c r="I23" i="1"/>
  <c r="F23" i="1"/>
  <c r="E23" i="1"/>
  <c r="Y22" i="1"/>
  <c r="X22" i="1"/>
  <c r="V22" i="1"/>
  <c r="AA22" i="1" s="1"/>
  <c r="U22" i="1"/>
  <c r="Z22" i="1" s="1"/>
  <c r="Z19" i="1" s="1"/>
  <c r="Z12" i="1" s="1"/>
  <c r="Q22" i="1"/>
  <c r="R22" i="1" s="1"/>
  <c r="N22" i="1"/>
  <c r="O22" i="1" s="1"/>
  <c r="F22" i="1"/>
  <c r="K22" i="1" s="1"/>
  <c r="S22" i="1" s="1"/>
  <c r="Y21" i="1"/>
  <c r="V21" i="1"/>
  <c r="S21" i="1"/>
  <c r="R21" i="1"/>
  <c r="O21" i="1"/>
  <c r="K21" i="1"/>
  <c r="Z20" i="1"/>
  <c r="Y20" i="1"/>
  <c r="AA20" i="1" s="1"/>
  <c r="V20" i="1"/>
  <c r="S20" i="1"/>
  <c r="R20" i="1"/>
  <c r="O20" i="1"/>
  <c r="K20" i="1"/>
  <c r="X19" i="1"/>
  <c r="W19" i="1"/>
  <c r="Y19" i="1" s="1"/>
  <c r="V19" i="1"/>
  <c r="U19" i="1"/>
  <c r="T19" i="1"/>
  <c r="P19" i="1"/>
  <c r="M19" i="1"/>
  <c r="I19" i="1"/>
  <c r="G19" i="1"/>
  <c r="F19" i="1"/>
  <c r="K19" i="1" s="1"/>
  <c r="E19" i="1"/>
  <c r="Z18" i="1"/>
  <c r="Y18" i="1"/>
  <c r="AA18" i="1" s="1"/>
  <c r="V18" i="1"/>
  <c r="Q18" i="1"/>
  <c r="N18" i="1"/>
  <c r="O18" i="1" s="1"/>
  <c r="F18" i="1"/>
  <c r="Z17" i="1"/>
  <c r="Y17" i="1"/>
  <c r="V17" i="1"/>
  <c r="AA17" i="1" s="1"/>
  <c r="R17" i="1"/>
  <c r="Q17" i="1"/>
  <c r="O17" i="1"/>
  <c r="N17" i="1"/>
  <c r="K17" i="1"/>
  <c r="S17" i="1" s="1"/>
  <c r="Z16" i="1"/>
  <c r="Y16" i="1"/>
  <c r="V16" i="1"/>
  <c r="AA16" i="1" s="1"/>
  <c r="R16" i="1"/>
  <c r="O16" i="1"/>
  <c r="K16" i="1"/>
  <c r="Y15" i="1"/>
  <c r="V15" i="1"/>
  <c r="R15" i="1"/>
  <c r="O15" i="1"/>
  <c r="K15" i="1"/>
  <c r="S15" i="1" s="1"/>
  <c r="G15" i="1"/>
  <c r="Z14" i="1"/>
  <c r="Y14" i="1"/>
  <c r="AA14" i="1" s="1"/>
  <c r="V14" i="1"/>
  <c r="R14" i="1"/>
  <c r="O14" i="1"/>
  <c r="G14" i="1"/>
  <c r="K14" i="1" s="1"/>
  <c r="S14" i="1" s="1"/>
  <c r="Z13" i="1"/>
  <c r="X13" i="1"/>
  <c r="W13" i="1"/>
  <c r="Y13" i="1" s="1"/>
  <c r="V13" i="1"/>
  <c r="U13" i="1"/>
  <c r="T13" i="1"/>
  <c r="P13" i="1"/>
  <c r="M13" i="1"/>
  <c r="J13" i="1"/>
  <c r="I13" i="1"/>
  <c r="H13" i="1"/>
  <c r="G13" i="1"/>
  <c r="E13" i="1"/>
  <c r="E10" i="1" s="1"/>
  <c r="E9" i="1" s="1"/>
  <c r="E8" i="1" s="1"/>
  <c r="X12" i="1"/>
  <c r="V12" i="1"/>
  <c r="U12" i="1"/>
  <c r="T12" i="1"/>
  <c r="P12" i="1"/>
  <c r="P11" i="1" s="1"/>
  <c r="M12" i="1"/>
  <c r="J12" i="1"/>
  <c r="I12" i="1"/>
  <c r="I11" i="1" s="1"/>
  <c r="I10" i="1" s="1"/>
  <c r="I9" i="1" s="1"/>
  <c r="I8" i="1" s="1"/>
  <c r="X11" i="1"/>
  <c r="X10" i="1" s="1"/>
  <c r="T11" i="1"/>
  <c r="M11" i="1"/>
  <c r="J11" i="1"/>
  <c r="T10" i="1"/>
  <c r="T9" i="1" s="1"/>
  <c r="M10" i="1"/>
  <c r="J10" i="1"/>
  <c r="M9" i="1"/>
  <c r="T8" i="1" l="1"/>
  <c r="P10" i="1"/>
  <c r="X9" i="1"/>
  <c r="X8" i="1" s="1"/>
  <c r="AA13" i="1"/>
  <c r="O35" i="1"/>
  <c r="O34" i="1" s="1"/>
  <c r="N34" i="1"/>
  <c r="AA156" i="1"/>
  <c r="M8" i="1"/>
  <c r="E12" i="1"/>
  <c r="E11" i="1" s="1"/>
  <c r="O13" i="1"/>
  <c r="S16" i="1"/>
  <c r="S13" i="1" s="1"/>
  <c r="R18" i="1"/>
  <c r="Q13" i="1"/>
  <c r="N19" i="1"/>
  <c r="O19" i="1" s="1"/>
  <c r="R23" i="1"/>
  <c r="Y23" i="1"/>
  <c r="W12" i="1"/>
  <c r="N23" i="1"/>
  <c r="O23" i="1" s="1"/>
  <c r="O24" i="1"/>
  <c r="R34" i="1"/>
  <c r="U35" i="1"/>
  <c r="V36" i="1"/>
  <c r="AA36" i="1" s="1"/>
  <c r="AA35" i="1" s="1"/>
  <c r="K34" i="1"/>
  <c r="S34" i="1" s="1"/>
  <c r="S35" i="1"/>
  <c r="S60" i="1"/>
  <c r="T40" i="1"/>
  <c r="Z244" i="1"/>
  <c r="V244" i="1"/>
  <c r="Y252" i="1"/>
  <c r="S42" i="1"/>
  <c r="F244" i="1"/>
  <c r="K245" i="1"/>
  <c r="N13" i="1"/>
  <c r="AA19" i="1"/>
  <c r="S26" i="1"/>
  <c r="Q23" i="1"/>
  <c r="R27" i="1"/>
  <c r="S27" i="1" s="1"/>
  <c r="J39" i="1"/>
  <c r="J9" i="1" s="1"/>
  <c r="J8" i="1" s="1"/>
  <c r="P258" i="1"/>
  <c r="AA245" i="1"/>
  <c r="J243" i="1"/>
  <c r="K18" i="1"/>
  <c r="S18" i="1" s="1"/>
  <c r="F13" i="1"/>
  <c r="T258" i="1"/>
  <c r="V209" i="1"/>
  <c r="U180" i="1"/>
  <c r="U155" i="1" s="1"/>
  <c r="AA42" i="1"/>
  <c r="AA41" i="1" s="1"/>
  <c r="AA40" i="1" s="1"/>
  <c r="AA39" i="1" s="1"/>
  <c r="K131" i="1"/>
  <c r="K41" i="1" s="1"/>
  <c r="Y131" i="1"/>
  <c r="Y41" i="1" s="1"/>
  <c r="J155" i="1"/>
  <c r="J40" i="1" s="1"/>
  <c r="Y156" i="1"/>
  <c r="W155" i="1"/>
  <c r="W40" i="1" s="1"/>
  <c r="Y164" i="1"/>
  <c r="AA164" i="1" s="1"/>
  <c r="AA172" i="1"/>
  <c r="V238" i="1"/>
  <c r="AA238" i="1" s="1"/>
  <c r="Y245" i="1"/>
  <c r="W244" i="1"/>
  <c r="Y244" i="1" s="1"/>
  <c r="H252" i="1"/>
  <c r="M252" i="1"/>
  <c r="M243" i="1" s="1"/>
  <c r="M258" i="1"/>
  <c r="Q252" i="1"/>
  <c r="R253" i="1"/>
  <c r="O41" i="1"/>
  <c r="R60" i="1"/>
  <c r="M155" i="1"/>
  <c r="M40" i="1" s="1"/>
  <c r="M39" i="1" s="1"/>
  <c r="X155" i="1"/>
  <c r="X40" i="1" s="1"/>
  <c r="X39" i="1" s="1"/>
  <c r="V180" i="1"/>
  <c r="K232" i="1"/>
  <c r="S232" i="1" s="1"/>
  <c r="O238" i="1"/>
  <c r="F243" i="1"/>
  <c r="E258" i="1"/>
  <c r="I258" i="1"/>
  <c r="AA253" i="1"/>
  <c r="Q19" i="1"/>
  <c r="R19" i="1" s="1"/>
  <c r="S19" i="1" s="1"/>
  <c r="Q131" i="1"/>
  <c r="R131" i="1" s="1"/>
  <c r="R154" i="1"/>
  <c r="K156" i="1"/>
  <c r="N156" i="1"/>
  <c r="O161" i="1"/>
  <c r="AA180" i="1"/>
  <c r="O214" i="1"/>
  <c r="R238" i="1"/>
  <c r="S238" i="1" s="1"/>
  <c r="J258" i="1"/>
  <c r="U252" i="1"/>
  <c r="U258" i="1"/>
  <c r="Z253" i="1"/>
  <c r="Z258" i="1" s="1"/>
  <c r="S254" i="1"/>
  <c r="AA255" i="1"/>
  <c r="F155" i="1"/>
  <c r="F40" i="1" s="1"/>
  <c r="F39" i="1" s="1"/>
  <c r="N238" i="1"/>
  <c r="H244" i="1"/>
  <c r="K252" i="1"/>
  <c r="T252" i="1"/>
  <c r="Q155" i="1"/>
  <c r="R155" i="1" s="1"/>
  <c r="X180" i="1"/>
  <c r="U40" i="1" l="1"/>
  <c r="V155" i="1"/>
  <c r="K244" i="1"/>
  <c r="S244" i="1" s="1"/>
  <c r="S245" i="1"/>
  <c r="K243" i="1"/>
  <c r="Z252" i="1"/>
  <c r="U243" i="1"/>
  <c r="Z243" i="1" s="1"/>
  <c r="O156" i="1"/>
  <c r="O258" i="1" s="1"/>
  <c r="N155" i="1"/>
  <c r="N258" i="1"/>
  <c r="Y40" i="1"/>
  <c r="W39" i="1"/>
  <c r="Y39" i="1" s="1"/>
  <c r="P9" i="1"/>
  <c r="X258" i="1"/>
  <c r="Y180" i="1"/>
  <c r="Y258" i="1" s="1"/>
  <c r="H162" i="1"/>
  <c r="H172" i="1"/>
  <c r="S156" i="1"/>
  <c r="K155" i="1"/>
  <c r="S155" i="1" s="1"/>
  <c r="Q41" i="1"/>
  <c r="Q258" i="1"/>
  <c r="Y155" i="1"/>
  <c r="N12" i="1"/>
  <c r="U11" i="1"/>
  <c r="V35" i="1"/>
  <c r="V258" i="1" s="1"/>
  <c r="U34" i="1"/>
  <c r="Y12" i="1"/>
  <c r="W11" i="1"/>
  <c r="Q12" i="1"/>
  <c r="R13" i="1"/>
  <c r="R258" i="1" s="1"/>
  <c r="AA12" i="1"/>
  <c r="V252" i="1"/>
  <c r="AA252" i="1" s="1"/>
  <c r="T243" i="1"/>
  <c r="V243" i="1" s="1"/>
  <c r="F12" i="1"/>
  <c r="F11" i="1" s="1"/>
  <c r="F10" i="1" s="1"/>
  <c r="F9" i="1" s="1"/>
  <c r="F8" i="1" s="1"/>
  <c r="K13" i="1"/>
  <c r="AA155" i="1"/>
  <c r="S131" i="1"/>
  <c r="W243" i="1"/>
  <c r="Y243" i="1" s="1"/>
  <c r="F258" i="1"/>
  <c r="AA258" i="1"/>
  <c r="R252" i="1"/>
  <c r="S252" i="1" s="1"/>
  <c r="Q243" i="1"/>
  <c r="R243" i="1" s="1"/>
  <c r="H243" i="1"/>
  <c r="H179" i="1" s="1"/>
  <c r="AA244" i="1"/>
  <c r="T39" i="1"/>
  <c r="S253" i="1"/>
  <c r="Y11" i="1" l="1"/>
  <c r="W10" i="1"/>
  <c r="U10" i="1"/>
  <c r="V11" i="1"/>
  <c r="Q40" i="1"/>
  <c r="R41" i="1"/>
  <c r="S41" i="1" s="1"/>
  <c r="Z40" i="1"/>
  <c r="U39" i="1"/>
  <c r="Z39" i="1" s="1"/>
  <c r="V40" i="1"/>
  <c r="AA243" i="1"/>
  <c r="N11" i="1"/>
  <c r="O12" i="1"/>
  <c r="O155" i="1"/>
  <c r="N40" i="1"/>
  <c r="K40" i="1"/>
  <c r="Z34" i="1"/>
  <c r="Z11" i="1" s="1"/>
  <c r="Z10" i="1" s="1"/>
  <c r="V34" i="1"/>
  <c r="AA34" i="1" s="1"/>
  <c r="AA11" i="1" s="1"/>
  <c r="AA10" i="1" s="1"/>
  <c r="AA9" i="1" s="1"/>
  <c r="AA8" i="1" s="1"/>
  <c r="S243" i="1"/>
  <c r="Q11" i="1"/>
  <c r="R12" i="1"/>
  <c r="H161" i="1"/>
  <c r="H159" i="1" s="1"/>
  <c r="H156" i="1" s="1"/>
  <c r="H155" i="1" s="1"/>
  <c r="H40" i="1" s="1"/>
  <c r="H39" i="1" s="1"/>
  <c r="H33" i="1" s="1"/>
  <c r="H32" i="1" s="1"/>
  <c r="H31" i="1" s="1"/>
  <c r="H30" i="1" s="1"/>
  <c r="H29" i="1" s="1"/>
  <c r="H28" i="1" s="1"/>
  <c r="H27" i="1" s="1"/>
  <c r="H25" i="1" s="1"/>
  <c r="H24" i="1" s="1"/>
  <c r="H160" i="1"/>
  <c r="P8" i="1"/>
  <c r="K39" i="1" l="1"/>
  <c r="U9" i="1"/>
  <c r="V10" i="1"/>
  <c r="Q10" i="1"/>
  <c r="R11" i="1"/>
  <c r="Z9" i="1"/>
  <c r="Z8" i="1" s="1"/>
  <c r="N10" i="1"/>
  <c r="O11" i="1"/>
  <c r="Y10" i="1"/>
  <c r="W9" i="1"/>
  <c r="H23" i="1"/>
  <c r="G23" i="1"/>
  <c r="N39" i="1"/>
  <c r="O39" i="1" s="1"/>
  <c r="O40" i="1"/>
  <c r="V39" i="1"/>
  <c r="R40" i="1"/>
  <c r="S40" i="1" s="1"/>
  <c r="Q39" i="1"/>
  <c r="R39" i="1" s="1"/>
  <c r="H22" i="1" l="1"/>
  <c r="H20" i="1" s="1"/>
  <c r="H19" i="1" s="1"/>
  <c r="H12" i="1" s="1"/>
  <c r="H11" i="1" s="1"/>
  <c r="H10" i="1" s="1"/>
  <c r="H9" i="1" s="1"/>
  <c r="H8" i="1" s="1"/>
  <c r="U8" i="1"/>
  <c r="V8" i="1" s="1"/>
  <c r="V9" i="1"/>
  <c r="N9" i="1"/>
  <c r="O10" i="1"/>
  <c r="Y9" i="1"/>
  <c r="W8" i="1"/>
  <c r="Y8" i="1" s="1"/>
  <c r="G258" i="1"/>
  <c r="G12" i="1"/>
  <c r="G11" i="1" s="1"/>
  <c r="G10" i="1" s="1"/>
  <c r="G9" i="1" s="1"/>
  <c r="G8" i="1" s="1"/>
  <c r="K23" i="1"/>
  <c r="Q9" i="1"/>
  <c r="R10" i="1"/>
  <c r="S39" i="1"/>
  <c r="Q8" i="1" l="1"/>
  <c r="R8" i="1" s="1"/>
  <c r="R9" i="1"/>
  <c r="S23" i="1"/>
  <c r="S258" i="1" s="1"/>
  <c r="K258" i="1"/>
  <c r="K10" i="1"/>
  <c r="K12" i="1"/>
  <c r="H258" i="1"/>
  <c r="N8" i="1"/>
  <c r="O8" i="1" s="1"/>
  <c r="O9" i="1"/>
  <c r="S12" i="1" l="1"/>
  <c r="K11" i="1"/>
  <c r="S11" i="1" s="1"/>
  <c r="S10" i="1"/>
  <c r="K9" i="1"/>
  <c r="K8" i="1" l="1"/>
  <c r="S8" i="1" s="1"/>
  <c r="S9" i="1"/>
</calcChain>
</file>

<file path=xl/sharedStrings.xml><?xml version="1.0" encoding="utf-8"?>
<sst xmlns="http://schemas.openxmlformats.org/spreadsheetml/2006/main" count="568" uniqueCount="298">
  <si>
    <t>EJECUCION PRESUPUESTAL DE EGRESOS</t>
  </si>
  <si>
    <t>ENTIDAD :  CONTRALORIA DEPARTAMENTAL DEL GUAVIARE</t>
  </si>
  <si>
    <t>NIT.</t>
  </si>
  <si>
    <t>832000115-7</t>
  </si>
  <si>
    <t>HOJA_______ DE ________</t>
  </si>
  <si>
    <t>NOMBRE DEL REPRESENTANTE LEGAL:CARLOS ALEJANDRO MONTOYA SANCHEZ</t>
  </si>
  <si>
    <t>PERIODO DE RENDICION</t>
  </si>
  <si>
    <t>DICIEMBRE 2023</t>
  </si>
  <si>
    <t>VALORES EN MILES DE PESOS</t>
  </si>
  <si>
    <t>Identificacion Presupuestal</t>
  </si>
  <si>
    <t>Descripcion</t>
  </si>
  <si>
    <t>FUENTE FINACIERA</t>
  </si>
  <si>
    <t>APROPIACIÓN INICIAL</t>
  </si>
  <si>
    <t>Modificaciones (2)</t>
  </si>
  <si>
    <t>Apropiacion definitiva</t>
  </si>
  <si>
    <t>CODIGO CPC</t>
  </si>
  <si>
    <t>DISPONIBILIDADES-CDP</t>
  </si>
  <si>
    <t>COMPROMISOS-RP</t>
  </si>
  <si>
    <t>SALDO POR COMPROMETER</t>
  </si>
  <si>
    <t>OBLIGACIONES-GIROS</t>
  </si>
  <si>
    <t>PAGOS</t>
  </si>
  <si>
    <t>CUENTAS POR PAGAR 2023</t>
  </si>
  <si>
    <t>RESERVAS PRESUPUESTALES 2023</t>
  </si>
  <si>
    <t>Traslados Créditos (2)</t>
  </si>
  <si>
    <t>ContraCred (3)</t>
  </si>
  <si>
    <t>Aplazamientos (4)</t>
  </si>
  <si>
    <t>Reducciones (5)</t>
  </si>
  <si>
    <t>Adiciones (6)</t>
  </si>
  <si>
    <t>SALDO ANTERIOR</t>
  </si>
  <si>
    <t xml:space="preserve">DEL MES </t>
  </si>
  <si>
    <t>TOTALES</t>
  </si>
  <si>
    <t>7=1+2-3-5+6</t>
  </si>
  <si>
    <t>14=7-13</t>
  </si>
  <si>
    <t>21=17-20</t>
  </si>
  <si>
    <t>22=17-20</t>
  </si>
  <si>
    <t>GASTOS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</si>
  <si>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</si>
  <si>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</si>
  <si>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</si>
  <si>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</si>
  <si>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</si>
  <si>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</si>
  <si>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</si>
  <si>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</si>
  <si>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</si>
  <si>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</si>
  <si>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Basico</t>
  </si>
  <si>
    <t>N/A</t>
  </si>
  <si>
    <t>2.1.1.01.01.001.05</t>
  </si>
  <si>
    <t>Auxilios de transporte</t>
  </si>
  <si>
    <t>2.1.1.01.01.001.06</t>
  </si>
  <si>
    <t>Prima semestral o de servicios</t>
  </si>
  <si>
    <t>2.1.1.01.01.001.07</t>
  </si>
  <si>
    <t>Bonificacion por servicios prestados</t>
  </si>
  <si>
    <t>2.1.1.01.01.001.08</t>
  </si>
  <si>
    <t>PRESTACIONES SOCIALES</t>
  </si>
  <si>
    <t>2.1.1.01.01.001.08.01</t>
  </si>
  <si>
    <t xml:space="preserve">Prima de navidad </t>
  </si>
  <si>
    <t>2.1.1.01.01.001.08.02</t>
  </si>
  <si>
    <t>Prima de vacaciones</t>
  </si>
  <si>
    <t>2.1.1.01.02</t>
  </si>
  <si>
    <t>CONTRIBUCIONES INHERENTES A LA NOMINA</t>
  </si>
  <si>
    <t>2.1.1.01.02.001</t>
  </si>
  <si>
    <t xml:space="preserve">Aportes a fondos de Pensión </t>
  </si>
  <si>
    <t>2.1.1.01.02.002</t>
  </si>
  <si>
    <t>Aportes seguridad social Salud</t>
  </si>
  <si>
    <t>2.1.1.01.02.003</t>
  </si>
  <si>
    <t>Aporte de cesantias</t>
  </si>
  <si>
    <t>2.1.1.01.02.004</t>
  </si>
  <si>
    <t>Caja de Compensacion Familiar</t>
  </si>
  <si>
    <t>2.1.1.01.02.005</t>
  </si>
  <si>
    <t>Aportes Sistema de Riesgos laborales</t>
  </si>
  <si>
    <t>2.1.1.01.02.006</t>
  </si>
  <si>
    <t>Aportes ICBF</t>
  </si>
  <si>
    <t>2.1.1.01.02.007</t>
  </si>
  <si>
    <t>Aportes SENA</t>
  </si>
  <si>
    <t>2.1.1.01.02.008</t>
  </si>
  <si>
    <t>Aportes ESAP</t>
  </si>
  <si>
    <t>2.1.1.01.02.009</t>
  </si>
  <si>
    <t>Escuelas Indust e Inst. Tecnicos</t>
  </si>
  <si>
    <t>2.1.1.01.03</t>
  </si>
  <si>
    <t>REMUNERACIONES NO CONSTITUTIVAS DE FACTOR SALARIAL</t>
  </si>
  <si>
    <t>2.1.1.01.03.001</t>
  </si>
  <si>
    <t>2.1.1.01.03.001.02</t>
  </si>
  <si>
    <t>Indeminizacion por vacaciones</t>
  </si>
  <si>
    <t>2.1.1.02.01.001.04</t>
  </si>
  <si>
    <t>Subsidio de alimentacion</t>
  </si>
  <si>
    <t>2.1.2</t>
  </si>
  <si>
    <t>ADQUISICION DE BIENES Y SERVICIOS</t>
  </si>
  <si>
    <t>2.1.2.02</t>
  </si>
  <si>
    <t>ADQUISICIONES DE BIENES Y SERVICIOS (ADQ. DIFERENTES DE ACTIVOS)</t>
  </si>
  <si>
    <t>2.1.2.02.01</t>
  </si>
  <si>
    <t>MATERIALES Y SUMINISTROS</t>
  </si>
  <si>
    <t>2.1.2.02.01.002</t>
  </si>
  <si>
    <t>PRODUCTOS ALIMENTICIOS, BEBIDAS Y TABACO; TEXTILES, PRENDAS DE VESTIR Y PRODUCTOS DE CUERO</t>
  </si>
  <si>
    <t>NA</t>
  </si>
  <si>
    <t>Novedad en el presupuesto Res N° 162</t>
  </si>
  <si>
    <t>Novedad en el presupuesto Res 189 Dic 23</t>
  </si>
  <si>
    <t>Suministro de panela solida</t>
  </si>
  <si>
    <t>Café molido</t>
  </si>
  <si>
    <t>Compra de agua purificada envasada</t>
  </si>
  <si>
    <t>Agua purificada envasada</t>
  </si>
  <si>
    <t>Toallas</t>
  </si>
  <si>
    <t>Especias y plantas aromaticas</t>
  </si>
  <si>
    <t>Contrato de dotación N° 009-2023</t>
  </si>
  <si>
    <t>Compras de mechas de trapero</t>
  </si>
  <si>
    <t>Coqueta de gas</t>
  </si>
  <si>
    <t>Ropa de cama, mesa, tocador o cocina (toallas de cocina)</t>
  </si>
  <si>
    <t>Contrato CMC-12-23 Suministro de Café molido</t>
  </si>
  <si>
    <t>Contrato CMC-12-23 Suministro de panela solida</t>
  </si>
  <si>
    <t>Contrato CMC-12-23 Suministro de azucar blanca</t>
  </si>
  <si>
    <t>Contrato CMC-12-23 Suministro de aromaticas</t>
  </si>
  <si>
    <t>Contrato CMC-12-23 Suministro de Toallas de cocina</t>
  </si>
  <si>
    <t>2.1.2.02.01.003</t>
  </si>
  <si>
    <t>OTROS BIENES TRANSPORTABLES (EXCEPTO PRODUCTOS METÁLICOS, MAQUINARIA Y EQUIPO)</t>
  </si>
  <si>
    <t>Resolución N° 99 del 2023 traslado presupuestal</t>
  </si>
  <si>
    <t>Novedad en el presupuesto Res N 132 del 2023</t>
  </si>
  <si>
    <t xml:space="preserve">Papel plastificado </t>
  </si>
  <si>
    <t>Suministro de papel sanitaio</t>
  </si>
  <si>
    <t>Folderes</t>
  </si>
  <si>
    <t>Suministro de gas coque</t>
  </si>
  <si>
    <t>Vaselina</t>
  </si>
  <si>
    <t>3350004</t>
  </si>
  <si>
    <t>Varsol</t>
  </si>
  <si>
    <t>Marcadores de fieltro y similares</t>
  </si>
  <si>
    <t>Suministro de guantes  de caucho</t>
  </si>
  <si>
    <t>Jabones en pasta para lavar</t>
  </si>
  <si>
    <t>Cinta pegante transparenta</t>
  </si>
  <si>
    <t>Guantes de caucho</t>
  </si>
  <si>
    <t>Papeles especiales para impresión</t>
  </si>
  <si>
    <t>Suministro bolsas plasticas</t>
  </si>
  <si>
    <t>Desengrasante para pisos</t>
  </si>
  <si>
    <t>preparaciones para limpiar vidrios</t>
  </si>
  <si>
    <t>Suministro de papel para servilletas toallas</t>
  </si>
  <si>
    <t>Suministro de teja plastica</t>
  </si>
  <si>
    <t>Detergente liquido</t>
  </si>
  <si>
    <t>Suministro de boligrafos</t>
  </si>
  <si>
    <t>Suministro de lapices</t>
  </si>
  <si>
    <t>Compra de flores</t>
  </si>
  <si>
    <t>Gasolina motor corriente</t>
  </si>
  <si>
    <t>Tintas tipograficas para impresoras</t>
  </si>
  <si>
    <t>Suministro (Compra de chequera)</t>
  </si>
  <si>
    <t>3261001</t>
  </si>
  <si>
    <t>Combustible (Contrato. N 004 -23)</t>
  </si>
  <si>
    <t>Detergentes y preparados para lavar</t>
  </si>
  <si>
    <t>Suministro CMC-13-23 de llanatas para el vehiculo de la CDG</t>
  </si>
  <si>
    <t>3611101</t>
  </si>
  <si>
    <t>Suministro CMC-11-23 Carpeta cuatro alas en blanco</t>
  </si>
  <si>
    <t>Suministro CMC-11-23 Cajas para archivo</t>
  </si>
  <si>
    <t>Suministro CMC-11-23Resmas de papel tamaño carta</t>
  </si>
  <si>
    <t>Suministro CMC-11-23Resmas de papel tamaño oficio</t>
  </si>
  <si>
    <t>Suministro CMC-11-23 Boligrafo negro</t>
  </si>
  <si>
    <t>Suministro CMC-11-23 Lapiz mina negra</t>
  </si>
  <si>
    <t>Suministro CMC-11-23 Cinta adhesiva de enmascarar</t>
  </si>
  <si>
    <t>Suministro CMC-11-23 Notas adhesivas</t>
  </si>
  <si>
    <t>Suministro CMC-11-23 Gancho plstico</t>
  </si>
  <si>
    <t>Suministro CMC-11-23 Cartulina</t>
  </si>
  <si>
    <t>Suministro CMC-11-23 Funda de sobres felpa</t>
  </si>
  <si>
    <t>Suministro CMC-11-23 Notas adhesivas banderitas</t>
  </si>
  <si>
    <t>Suministro CMC-11-23 Sobres de manila tamaño oficio</t>
  </si>
  <si>
    <t>Suministro CMC-11-23 Sobres de manila tamaño carta</t>
  </si>
  <si>
    <t>Suministro CMC-11-23 Resaltador de colores</t>
  </si>
  <si>
    <t>Suministro CMC-11-23 Marcador borrable</t>
  </si>
  <si>
    <t>Suministro CMC-11-23 Pegante en barra</t>
  </si>
  <si>
    <t>Suministro CMC-11-23 Marcador permante sharppie negro</t>
  </si>
  <si>
    <t>Suministro CMC-11-23 Marcador permante sharppie de colores</t>
  </si>
  <si>
    <t>Suministro CMC-11-23 Cera para archivo</t>
  </si>
  <si>
    <t>Suministro CMC-11-23 Huellero Dactilar</t>
  </si>
  <si>
    <t>Contrato CMC-12-23 Suministro de papel higienico</t>
  </si>
  <si>
    <t>Contrato CMC-12-23 Suministro de Servilletas</t>
  </si>
  <si>
    <t>Contrato CMC-12-23 Suministro de Toallas de papel</t>
  </si>
  <si>
    <t>Contrato CMC-12-23 Suministro de Bolsas residente</t>
  </si>
  <si>
    <t>Contrato CMC-12-23 Suministro de Bolsa rayada</t>
  </si>
  <si>
    <t>Contrato CMC-12-23 Suministro de Detergente en polvo</t>
  </si>
  <si>
    <t>Contrato CMC-12-23 Suministro de Limpia vidrios</t>
  </si>
  <si>
    <t>Contrato CMC-12-23 Suministro de Limpia pisos</t>
  </si>
  <si>
    <t>Contrato CMC-12-23 Suministro de Cloros granulados</t>
  </si>
  <si>
    <t>Contrato CMC-12-23 Suministro de Cloro pastillas</t>
  </si>
  <si>
    <t xml:space="preserve">Contrato CMC-12-23 Suministro de Blanqueador </t>
  </si>
  <si>
    <t>Contrato CMC-12-23 Suministro de Jabon azul</t>
  </si>
  <si>
    <t>Contrato CMC-12-23 Suministro de Guantes</t>
  </si>
  <si>
    <t>Contrato CMC-12-23 Suministro de Escoba suave</t>
  </si>
  <si>
    <t>Contrato CMC-12-23 Suministro de Mechas de trapero</t>
  </si>
  <si>
    <t>Contrato CMC-12-23 Suministro de Recogedor</t>
  </si>
  <si>
    <t xml:space="preserve">Contrato CMC-12-23 Suministro de Lavaloza </t>
  </si>
  <si>
    <t>Contrato CMC-12-23 Suministro de Desincrustante</t>
  </si>
  <si>
    <t>Recarga de extintores</t>
  </si>
  <si>
    <t>2.1.2.02.01.004</t>
  </si>
  <si>
    <t>PRODUCTOS METÁLICOS Y PAQUETES DE SOFTWARE</t>
  </si>
  <si>
    <t>Novedad en el presupuesto agosto</t>
  </si>
  <si>
    <t xml:space="preserve">Adición presupuestal </t>
  </si>
  <si>
    <t>Novedad en el presupuesto N 162 de oct 23</t>
  </si>
  <si>
    <t>Suministro de lamparas</t>
  </si>
  <si>
    <t>partes y accesorios para cerraduras</t>
  </si>
  <si>
    <t>Esponjas y esponjillas Metalicas</t>
  </si>
  <si>
    <t>Cerraduras para puertas</t>
  </si>
  <si>
    <t>Llaves para cerraduras y candados</t>
  </si>
  <si>
    <t>Pilas secas</t>
  </si>
  <si>
    <t>Partes y accesorios para computadores</t>
  </si>
  <si>
    <t>Suministro CMC-11-23 Tijeras de acero onoxidable</t>
  </si>
  <si>
    <t>Suministro CMC-11-23 Gancho tipo clip</t>
  </si>
  <si>
    <t>Suministro CMC-11-23 Discos compacto cd</t>
  </si>
  <si>
    <t>Suministro CMC-11-23 Grapadora</t>
  </si>
  <si>
    <t>Suministro CMC-11-23 Mauses vertical</t>
  </si>
  <si>
    <t>Suministro CMC-11-23 Calculadora</t>
  </si>
  <si>
    <t>Suministro CMC-11-23 Pad mause</t>
  </si>
  <si>
    <t>Contrato CMC-12-23 Suministro de rastrillo</t>
  </si>
  <si>
    <t>Contrato CMC-12-23 Suministro de Esponjillon</t>
  </si>
  <si>
    <t>Contrato CMC-12-23 Suministro de Esponjas metalizadas</t>
  </si>
  <si>
    <t>Extensiones y conectores</t>
  </si>
  <si>
    <t>suministro CMC- 010-2023 suministro comp</t>
  </si>
  <si>
    <t>2.1.2.02.02</t>
  </si>
  <si>
    <t>ADQUISICIÓN DE SERVICIOS</t>
  </si>
  <si>
    <t>2.1.2.02.02.006</t>
  </si>
  <si>
    <t>SERVICIOS DE ALOJAMIENTO; SERVICIOS DE SUMINISTRO DE COMIDAS Y BEBIDAS; SERVICIOS DE TRANSPORTE; Y SERVICIOS DE DISTRIBUCIÓN DE ELECTRICIDAD, GAS Y AGUA.</t>
  </si>
  <si>
    <t>Servicio de transporte (encomiendas)</t>
  </si>
  <si>
    <t>Servicio de transporte aereo</t>
  </si>
  <si>
    <t>Transporte funcionarios en comision</t>
  </si>
  <si>
    <t xml:space="preserve">Proceso MC-004 Bienestar Social </t>
  </si>
  <si>
    <t>63391</t>
  </si>
  <si>
    <t>Proceso CPS - 026 Logisticos</t>
  </si>
  <si>
    <t>Novedad en el presupuesto Res N 162 oct</t>
  </si>
  <si>
    <t>Proceso MC - 004 Bienestar social</t>
  </si>
  <si>
    <t>2.1.2.02.02.007</t>
  </si>
  <si>
    <t>SERVICIOS FINANCIEROS Y SERVICIOS CONEXOS, SERVICIOS INMOBILIARIOS Y SERVICIOS DE LEASING</t>
  </si>
  <si>
    <t>Adición presupúestal</t>
  </si>
  <si>
    <t>Novedad en el presupuesto Res N 162 del 2023</t>
  </si>
  <si>
    <t>Servicios de seguros obligatorios</t>
  </si>
  <si>
    <t xml:space="preserve">Contrato seguros </t>
  </si>
  <si>
    <t>Alquiler video beam</t>
  </si>
  <si>
    <t>2.1.2.02.02.008</t>
  </si>
  <si>
    <t>SERVICIOS PRESTADOS A LAS EMPRESAS Y SERVICIOS DE PRODUCCIÓN</t>
  </si>
  <si>
    <t>Adición presupuestal</t>
  </si>
  <si>
    <t>Ser. telecomunicaciones (movistar)</t>
  </si>
  <si>
    <t>Ser. Telecomunicaciones (internet)</t>
  </si>
  <si>
    <t>Otros servicios de telecomunicación</t>
  </si>
  <si>
    <t>Sevicios de asesoramiento y reprsentación juridica</t>
  </si>
  <si>
    <t>Servicio de consultoria en gestión financiera (contrato 005-23)</t>
  </si>
  <si>
    <t>Publicaciones de documentos</t>
  </si>
  <si>
    <t>Servicio de descarga de sofware</t>
  </si>
  <si>
    <t>Servicio de mantenimiento y reparación de productos metalicos estucturales y sus partes</t>
  </si>
  <si>
    <t>Mantenimiento de servicios generales</t>
  </si>
  <si>
    <t>Servicio de mantenimiento y reparación</t>
  </si>
  <si>
    <t>Servicios de consultoria en ambiente (contrato 008-2023)</t>
  </si>
  <si>
    <t>Servicios de contabilidad</t>
  </si>
  <si>
    <t>Servicio de contabilidad (exogena)</t>
  </si>
  <si>
    <t>Servicio de distribución de electricidad (Energuaviare)</t>
  </si>
  <si>
    <t>Gas</t>
  </si>
  <si>
    <t>Acueducto</t>
  </si>
  <si>
    <t>Impresos publicitarios</t>
  </si>
  <si>
    <t>Mantenimiento y reparacion guardas</t>
  </si>
  <si>
    <t>Mant. Y reparac. Servicios electricos</t>
  </si>
  <si>
    <t>Mantenimiento y reparacion impresora</t>
  </si>
  <si>
    <t>Mantenimiento y reparacion vehiculos</t>
  </si>
  <si>
    <t>Servicio de mantenimiento y reparación de maquinas</t>
  </si>
  <si>
    <t>Publicaciones de documentos de carácter oficial</t>
  </si>
  <si>
    <t>Serv. Corte de cesped</t>
  </si>
  <si>
    <t>servicios tecnicos de publicidad Daniel Bejarano</t>
  </si>
  <si>
    <t>Servicios de impresión litografia</t>
  </si>
  <si>
    <t>Sofware originales</t>
  </si>
  <si>
    <t>Servicio de archivo</t>
  </si>
  <si>
    <t>Servicio de alojamiento hosting CPS-025</t>
  </si>
  <si>
    <t>Otros servicios profesionales SG-SST</t>
  </si>
  <si>
    <t>Novedad en el presupuesto Res xx Dic 23</t>
  </si>
  <si>
    <t>2.1.2.02.02.009</t>
  </si>
  <si>
    <t>SERVICIOS PARA LA COMUNIDAD, SOCIALES Y PERSONALES</t>
  </si>
  <si>
    <t>Recoleccion desechos residenciales (Empoaguas)</t>
  </si>
  <si>
    <t>Servicios gen. de recolección de desechos residenciales (Ambientar)</t>
  </si>
  <si>
    <t>Servicio formacion capacitacion</t>
  </si>
  <si>
    <t>Servicios de Capacitación FYC CPS N 015 - 2023</t>
  </si>
  <si>
    <t>Servicio de capacitación pimisys cps 019-23</t>
  </si>
  <si>
    <t>2.1.2.02.02.010</t>
  </si>
  <si>
    <t>VIÁTICOS DE LOS FUNCIONARIOS EN COMISIÓN</t>
  </si>
  <si>
    <t>Alojamiento</t>
  </si>
  <si>
    <t>Suministro de comidas</t>
  </si>
  <si>
    <t>2.1.3</t>
  </si>
  <si>
    <t>TRANSFERENCIA CORRIENTES</t>
  </si>
  <si>
    <t>2.1.3.07</t>
  </si>
  <si>
    <t>PRESTACIONES PARA CUBRIR RIESGOS SOCIALES</t>
  </si>
  <si>
    <t>2.1.3.07.02</t>
  </si>
  <si>
    <t>PRESTACIONES SOCIALES RELACIONADAS CON EL EMPLEO</t>
  </si>
  <si>
    <t>2.1.3.07.02.031</t>
  </si>
  <si>
    <t>PROGRAMA SALUD OCUPACIONAL</t>
  </si>
  <si>
    <t>Examenes medicos ocupacionales</t>
  </si>
  <si>
    <t>2.1.3.13</t>
  </si>
  <si>
    <t>SENTENCIAS Y CONCILIACIONES</t>
  </si>
  <si>
    <t>2.1.3.13.01</t>
  </si>
  <si>
    <t>FALLOS NACIONALES</t>
  </si>
  <si>
    <t>2.1.3.13.01.001</t>
  </si>
  <si>
    <t>SENTENCIAS JUDICIALES</t>
  </si>
  <si>
    <t>2.1.8</t>
  </si>
  <si>
    <t>GASTO</t>
  </si>
  <si>
    <t>2.1.8.03</t>
  </si>
  <si>
    <t>Tasas y derechos administrativos</t>
  </si>
  <si>
    <t>CARLOS ALEJANDRO MONTOYA SANCHEZ</t>
  </si>
  <si>
    <t>SANDRA YULIETH MENDOZA MARIN</t>
  </si>
  <si>
    <t>Contralor Departamental del Guaviare</t>
  </si>
  <si>
    <t>Directora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</si>
</sst>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1"/>
      <color theme="5" tint="-0.249977111117893"/>
      <name val="Calibri"/>
      <family val="2"/>
      <scheme val="minor"/>
    </font>
    <font>
      <b/>
      <sz val="8"/>
      <name val="Calibri"/>
      <family val="2"/>
      <scheme val="minor"/>
    </font>
    <font>
      <sz val="9"/>
      <name val="Arial Narrow"/>
      <family val="2"/>
    </font>
    <font>
      <b/>
      <sz val="9"/>
      <name val="Arial Narrow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/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4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4" fillId="0" borderId="0" xfId="0" applyFont="1"/>
    <xf numFmtId="0" fontId="4" fillId="2" borderId="0" xfId="0" applyFont="1" applyFill="1"/>
    <xf numFmtId="1" fontId="6" fillId="0" borderId="0" xfId="0" applyNumberFormat="1" applyFont="1"/>
    <xf numFmtId="164" fontId="4" fillId="0" borderId="0" xfId="1" applyNumberFormat="1" applyFont="1"/>
    <xf numFmtId="44" fontId="4" fillId="0" borderId="0" xfId="0" applyNumberFormat="1" applyFont="1"/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23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vertical="center" wrapText="1"/>
    </xf>
    <xf numFmtId="1" fontId="8" fillId="0" borderId="30" xfId="0" applyNumberFormat="1" applyFont="1" applyBorder="1" applyAlignment="1">
      <alignment horizontal="center" vertical="center" wrapText="1"/>
    </xf>
    <xf numFmtId="164" fontId="7" fillId="0" borderId="10" xfId="1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right"/>
    </xf>
    <xf numFmtId="0" fontId="8" fillId="0" borderId="24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64" fontId="7" fillId="0" borderId="14" xfId="1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1" fontId="7" fillId="0" borderId="15" xfId="1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1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4" borderId="16" xfId="0" applyFont="1" applyFill="1" applyBorder="1" applyAlignment="1">
      <alignment horizontal="right"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left" vertical="center" wrapText="1"/>
    </xf>
    <xf numFmtId="164" fontId="2" fillId="4" borderId="20" xfId="1" applyNumberFormat="1" applyFont="1" applyFill="1" applyBorder="1" applyAlignment="1">
      <alignment horizontal="right" vertical="center" wrapText="1"/>
    </xf>
    <xf numFmtId="164" fontId="2" fillId="4" borderId="28" xfId="1" applyNumberFormat="1" applyFont="1" applyFill="1" applyBorder="1" applyAlignment="1">
      <alignment horizontal="right" vertical="center" wrapText="1"/>
    </xf>
    <xf numFmtId="1" fontId="2" fillId="4" borderId="46" xfId="1" applyNumberFormat="1" applyFont="1" applyFill="1" applyBorder="1" applyAlignment="1">
      <alignment horizontal="right" vertical="center" wrapText="1"/>
    </xf>
    <xf numFmtId="164" fontId="2" fillId="4" borderId="47" xfId="1" applyNumberFormat="1" applyFont="1" applyFill="1" applyBorder="1" applyAlignment="1">
      <alignment horizontal="right" vertical="center" wrapText="1"/>
    </xf>
    <xf numFmtId="164" fontId="2" fillId="4" borderId="48" xfId="1" applyNumberFormat="1" applyFont="1" applyFill="1" applyBorder="1" applyAlignment="1">
      <alignment horizontal="right" vertical="center" wrapText="1"/>
    </xf>
    <xf numFmtId="164" fontId="2" fillId="4" borderId="49" xfId="1" applyNumberFormat="1" applyFont="1" applyFill="1" applyBorder="1" applyAlignment="1">
      <alignment horizontal="right" vertical="center" wrapText="1"/>
    </xf>
    <xf numFmtId="164" fontId="2" fillId="4" borderId="46" xfId="1" applyNumberFormat="1" applyFont="1" applyFill="1" applyBorder="1" applyAlignment="1">
      <alignment horizontal="right" vertical="center" wrapText="1"/>
    </xf>
    <xf numFmtId="165" fontId="2" fillId="4" borderId="49" xfId="0" applyNumberFormat="1" applyFont="1" applyFill="1" applyBorder="1" applyAlignment="1">
      <alignment horizontal="right" vertical="center" wrapText="1"/>
    </xf>
    <xf numFmtId="165" fontId="2" fillId="4" borderId="47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7" fillId="4" borderId="50" xfId="0" applyFont="1" applyFill="1" applyBorder="1" applyAlignment="1">
      <alignment horizontal="right" vertical="center" wrapText="1"/>
    </xf>
    <xf numFmtId="0" fontId="2" fillId="4" borderId="51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horizontal="center" vertical="center" wrapText="1"/>
    </xf>
    <xf numFmtId="164" fontId="2" fillId="4" borderId="51" xfId="1" applyNumberFormat="1" applyFont="1" applyFill="1" applyBorder="1" applyAlignment="1">
      <alignment horizontal="right" vertical="center" wrapText="1"/>
    </xf>
    <xf numFmtId="1" fontId="2" fillId="4" borderId="7" xfId="1" applyNumberFormat="1" applyFont="1" applyFill="1" applyBorder="1" applyAlignment="1">
      <alignment horizontal="right" vertical="center" wrapText="1"/>
    </xf>
    <xf numFmtId="164" fontId="2" fillId="4" borderId="8" xfId="1" applyNumberFormat="1" applyFont="1" applyFill="1" applyBorder="1" applyAlignment="1">
      <alignment horizontal="right" vertical="center" wrapText="1"/>
    </xf>
    <xf numFmtId="164" fontId="2" fillId="4" borderId="52" xfId="1" applyNumberFormat="1" applyFont="1" applyFill="1" applyBorder="1" applyAlignment="1">
      <alignment horizontal="right" vertical="center" wrapText="1"/>
    </xf>
    <xf numFmtId="164" fontId="2" fillId="4" borderId="50" xfId="1" applyNumberFormat="1" applyFont="1" applyFill="1" applyBorder="1" applyAlignment="1">
      <alignment horizontal="right" vertical="center" wrapText="1"/>
    </xf>
    <xf numFmtId="164" fontId="2" fillId="4" borderId="7" xfId="1" applyNumberFormat="1" applyFont="1" applyFill="1" applyBorder="1" applyAlignment="1">
      <alignment horizontal="right" vertical="center" wrapText="1"/>
    </xf>
    <xf numFmtId="165" fontId="2" fillId="4" borderId="50" xfId="0" applyNumberFormat="1" applyFont="1" applyFill="1" applyBorder="1" applyAlignment="1">
      <alignment horizontal="right" vertical="center" wrapText="1"/>
    </xf>
    <xf numFmtId="165" fontId="2" fillId="4" borderId="8" xfId="0" applyNumberFormat="1" applyFont="1" applyFill="1" applyBorder="1" applyAlignment="1">
      <alignment horizontal="right" vertical="center" wrapText="1"/>
    </xf>
    <xf numFmtId="0" fontId="2" fillId="4" borderId="51" xfId="0" applyFont="1" applyFill="1" applyBorder="1" applyAlignment="1">
      <alignment horizontal="left" vertical="center" wrapText="1"/>
    </xf>
    <xf numFmtId="0" fontId="7" fillId="5" borderId="50" xfId="0" applyFont="1" applyFill="1" applyBorder="1" applyAlignment="1">
      <alignment horizontal="right" vertical="center" wrapText="1"/>
    </xf>
    <xf numFmtId="0" fontId="2" fillId="5" borderId="51" xfId="0" applyFont="1" applyFill="1" applyBorder="1" applyAlignment="1">
      <alignment vertical="center" wrapText="1"/>
    </xf>
    <xf numFmtId="0" fontId="2" fillId="5" borderId="51" xfId="0" applyFont="1" applyFill="1" applyBorder="1" applyAlignment="1">
      <alignment horizontal="left" vertical="center" wrapText="1"/>
    </xf>
    <xf numFmtId="164" fontId="2" fillId="5" borderId="51" xfId="1" applyNumberFormat="1" applyFont="1" applyFill="1" applyBorder="1" applyAlignment="1">
      <alignment horizontal="right" vertical="center" wrapText="1"/>
    </xf>
    <xf numFmtId="1" fontId="2" fillId="5" borderId="7" xfId="1" applyNumberFormat="1" applyFont="1" applyFill="1" applyBorder="1" applyAlignment="1">
      <alignment horizontal="right" vertical="center" wrapText="1"/>
    </xf>
    <xf numFmtId="164" fontId="2" fillId="5" borderId="8" xfId="1" applyNumberFormat="1" applyFont="1" applyFill="1" applyBorder="1" applyAlignment="1">
      <alignment horizontal="right" vertical="center" wrapText="1"/>
    </xf>
    <xf numFmtId="164" fontId="2" fillId="5" borderId="52" xfId="1" applyNumberFormat="1" applyFont="1" applyFill="1" applyBorder="1" applyAlignment="1">
      <alignment horizontal="right" vertical="center" wrapText="1"/>
    </xf>
    <xf numFmtId="164" fontId="2" fillId="5" borderId="7" xfId="1" applyNumberFormat="1" applyFont="1" applyFill="1" applyBorder="1" applyAlignment="1">
      <alignment horizontal="right" vertical="center" wrapText="1"/>
    </xf>
    <xf numFmtId="165" fontId="2" fillId="5" borderId="50" xfId="0" applyNumberFormat="1" applyFont="1" applyFill="1" applyBorder="1" applyAlignment="1">
      <alignment horizontal="right" vertical="center" wrapText="1"/>
    </xf>
    <xf numFmtId="165" fontId="2" fillId="5" borderId="8" xfId="0" applyNumberFormat="1" applyFont="1" applyFill="1" applyBorder="1" applyAlignment="1">
      <alignment horizontal="right" vertical="center" wrapText="1"/>
    </xf>
    <xf numFmtId="0" fontId="7" fillId="6" borderId="50" xfId="0" applyFont="1" applyFill="1" applyBorder="1" applyAlignment="1">
      <alignment horizontal="right" vertical="center" wrapText="1"/>
    </xf>
    <xf numFmtId="0" fontId="2" fillId="6" borderId="51" xfId="0" applyFont="1" applyFill="1" applyBorder="1" applyAlignment="1">
      <alignment vertical="center" wrapText="1"/>
    </xf>
    <xf numFmtId="0" fontId="2" fillId="6" borderId="51" xfId="0" applyFont="1" applyFill="1" applyBorder="1" applyAlignment="1">
      <alignment horizontal="left" vertical="center" wrapText="1"/>
    </xf>
    <xf numFmtId="164" fontId="2" fillId="6" borderId="51" xfId="1" applyNumberFormat="1" applyFont="1" applyFill="1" applyBorder="1" applyAlignment="1">
      <alignment horizontal="right" vertical="center" wrapText="1"/>
    </xf>
    <xf numFmtId="1" fontId="2" fillId="6" borderId="7" xfId="1" applyNumberFormat="1" applyFont="1" applyFill="1" applyBorder="1" applyAlignment="1">
      <alignment horizontal="right" vertical="center" wrapText="1"/>
    </xf>
    <xf numFmtId="164" fontId="2" fillId="6" borderId="8" xfId="1" applyNumberFormat="1" applyFont="1" applyFill="1" applyBorder="1" applyAlignment="1">
      <alignment horizontal="right" vertical="center" wrapText="1"/>
    </xf>
    <xf numFmtId="164" fontId="2" fillId="6" borderId="50" xfId="1" applyNumberFormat="1" applyFont="1" applyFill="1" applyBorder="1" applyAlignment="1">
      <alignment horizontal="right" vertical="center" wrapText="1"/>
    </xf>
    <xf numFmtId="164" fontId="2" fillId="6" borderId="52" xfId="1" applyNumberFormat="1" applyFont="1" applyFill="1" applyBorder="1" applyAlignment="1">
      <alignment horizontal="right" vertical="center" wrapText="1"/>
    </xf>
    <xf numFmtId="164" fontId="2" fillId="6" borderId="7" xfId="1" applyNumberFormat="1" applyFont="1" applyFill="1" applyBorder="1" applyAlignment="1">
      <alignment horizontal="right" vertical="center" wrapText="1"/>
    </xf>
    <xf numFmtId="165" fontId="2" fillId="6" borderId="50" xfId="0" applyNumberFormat="1" applyFont="1" applyFill="1" applyBorder="1" applyAlignment="1">
      <alignment horizontal="right" vertical="center" wrapText="1"/>
    </xf>
    <xf numFmtId="165" fontId="2" fillId="6" borderId="8" xfId="0" applyNumberFormat="1" applyFont="1" applyFill="1" applyBorder="1" applyAlignment="1">
      <alignment horizontal="right" vertical="center" wrapText="1"/>
    </xf>
    <xf numFmtId="0" fontId="5" fillId="0" borderId="50" xfId="0" applyFont="1" applyBorder="1" applyAlignment="1">
      <alignment horizontal="right" wrapText="1"/>
    </xf>
    <xf numFmtId="0" fontId="4" fillId="0" borderId="51" xfId="0" applyFont="1" applyBorder="1" applyAlignment="1">
      <alignment horizontal="left" wrapText="1"/>
    </xf>
    <xf numFmtId="164" fontId="4" fillId="0" borderId="51" xfId="1" applyNumberFormat="1" applyFont="1" applyBorder="1" applyAlignment="1">
      <alignment horizontal="right" wrapText="1"/>
    </xf>
    <xf numFmtId="164" fontId="4" fillId="0" borderId="51" xfId="1" applyNumberFormat="1" applyFont="1" applyBorder="1" applyAlignment="1">
      <alignment wrapText="1"/>
    </xf>
    <xf numFmtId="1" fontId="4" fillId="0" borderId="7" xfId="1" applyNumberFormat="1" applyFont="1" applyBorder="1" applyAlignment="1">
      <alignment horizontal="right" wrapText="1"/>
    </xf>
    <xf numFmtId="164" fontId="4" fillId="0" borderId="50" xfId="1" applyNumberFormat="1" applyFont="1" applyBorder="1" applyAlignment="1">
      <alignment horizontal="right" wrapText="1"/>
    </xf>
    <xf numFmtId="164" fontId="4" fillId="0" borderId="52" xfId="1" applyNumberFormat="1" applyFont="1" applyBorder="1" applyAlignment="1">
      <alignment horizontal="right" wrapText="1"/>
    </xf>
    <xf numFmtId="164" fontId="4" fillId="0" borderId="6" xfId="1" applyNumberFormat="1" applyFont="1" applyBorder="1" applyAlignment="1">
      <alignment horizontal="right" wrapText="1"/>
    </xf>
    <xf numFmtId="164" fontId="4" fillId="0" borderId="7" xfId="1" applyNumberFormat="1" applyFont="1" applyBorder="1" applyAlignment="1">
      <alignment horizontal="right" wrapText="1"/>
    </xf>
    <xf numFmtId="164" fontId="4" fillId="0" borderId="53" xfId="1" applyNumberFormat="1" applyFont="1" applyBorder="1" applyAlignment="1">
      <alignment horizontal="right" wrapText="1"/>
    </xf>
    <xf numFmtId="165" fontId="2" fillId="0" borderId="50" xfId="0" applyNumberFormat="1" applyFont="1" applyBorder="1" applyAlignment="1">
      <alignment horizontal="right" wrapText="1"/>
    </xf>
    <xf numFmtId="165" fontId="2" fillId="0" borderId="8" xfId="0" applyNumberFormat="1" applyFont="1" applyBorder="1" applyAlignment="1">
      <alignment horizontal="right" wrapText="1"/>
    </xf>
    <xf numFmtId="0" fontId="10" fillId="0" borderId="0" xfId="0" applyFont="1"/>
    <xf numFmtId="164" fontId="2" fillId="6" borderId="4" xfId="1" applyNumberFormat="1" applyFont="1" applyFill="1" applyBorder="1" applyAlignment="1">
      <alignment horizontal="right" vertical="center" wrapText="1"/>
    </xf>
    <xf numFmtId="164" fontId="2" fillId="6" borderId="6" xfId="1" applyNumberFormat="1" applyFont="1" applyFill="1" applyBorder="1" applyAlignment="1">
      <alignment horizontal="right" vertical="center" wrapText="1"/>
    </xf>
    <xf numFmtId="164" fontId="2" fillId="6" borderId="53" xfId="1" applyNumberFormat="1" applyFont="1" applyFill="1" applyBorder="1" applyAlignment="1">
      <alignment horizontal="right" vertical="center" wrapText="1"/>
    </xf>
    <xf numFmtId="0" fontId="5" fillId="0" borderId="50" xfId="0" applyFont="1" applyBorder="1" applyAlignment="1">
      <alignment horizontal="right"/>
    </xf>
    <xf numFmtId="164" fontId="2" fillId="0" borderId="51" xfId="1" applyNumberFormat="1" applyFont="1" applyBorder="1" applyAlignment="1">
      <alignment horizontal="right" wrapText="1"/>
    </xf>
    <xf numFmtId="165" fontId="11" fillId="0" borderId="8" xfId="0" applyNumberFormat="1" applyFont="1" applyBorder="1" applyAlignment="1">
      <alignment horizontal="right" wrapText="1"/>
    </xf>
    <xf numFmtId="0" fontId="5" fillId="2" borderId="50" xfId="0" applyFont="1" applyFill="1" applyBorder="1" applyAlignment="1">
      <alignment horizontal="right" wrapText="1"/>
    </xf>
    <xf numFmtId="0" fontId="4" fillId="2" borderId="51" xfId="0" applyFont="1" applyFill="1" applyBorder="1" applyAlignment="1">
      <alignment horizontal="left" wrapText="1"/>
    </xf>
    <xf numFmtId="164" fontId="4" fillId="2" borderId="51" xfId="1" applyNumberFormat="1" applyFont="1" applyFill="1" applyBorder="1" applyAlignment="1">
      <alignment horizontal="right" wrapText="1"/>
    </xf>
    <xf numFmtId="164" fontId="2" fillId="7" borderId="51" xfId="1" applyNumberFormat="1" applyFont="1" applyFill="1" applyBorder="1" applyAlignment="1">
      <alignment horizontal="right" wrapText="1"/>
    </xf>
    <xf numFmtId="164" fontId="4" fillId="7" borderId="51" xfId="1" applyNumberFormat="1" applyFont="1" applyFill="1" applyBorder="1" applyAlignment="1">
      <alignment horizontal="right" wrapText="1"/>
    </xf>
    <xf numFmtId="165" fontId="2" fillId="2" borderId="50" xfId="0" applyNumberFormat="1" applyFont="1" applyFill="1" applyBorder="1" applyAlignment="1">
      <alignment horizontal="right" wrapText="1"/>
    </xf>
    <xf numFmtId="165" fontId="2" fillId="2" borderId="8" xfId="0" applyNumberFormat="1" applyFont="1" applyFill="1" applyBorder="1" applyAlignment="1">
      <alignment horizontal="right" wrapText="1"/>
    </xf>
    <xf numFmtId="0" fontId="10" fillId="2" borderId="0" xfId="0" applyFont="1" applyFill="1"/>
    <xf numFmtId="164" fontId="2" fillId="4" borderId="6" xfId="1" applyNumberFormat="1" applyFont="1" applyFill="1" applyBorder="1" applyAlignment="1">
      <alignment horizontal="right" vertical="center" wrapText="1"/>
    </xf>
    <xf numFmtId="164" fontId="2" fillId="4" borderId="53" xfId="1" applyNumberFormat="1" applyFont="1" applyFill="1" applyBorder="1" applyAlignment="1">
      <alignment horizontal="right" vertical="center" wrapText="1"/>
    </xf>
    <xf numFmtId="0" fontId="12" fillId="4" borderId="50" xfId="0" applyFont="1" applyFill="1" applyBorder="1" applyAlignment="1">
      <alignment horizontal="right" vertical="center" wrapText="1"/>
    </xf>
    <xf numFmtId="165" fontId="11" fillId="4" borderId="50" xfId="0" applyNumberFormat="1" applyFont="1" applyFill="1" applyBorder="1" applyAlignment="1">
      <alignment horizontal="right" vertical="center" wrapText="1"/>
    </xf>
    <xf numFmtId="165" fontId="11" fillId="4" borderId="8" xfId="0" applyNumberFormat="1" applyFont="1" applyFill="1" applyBorder="1" applyAlignment="1">
      <alignment horizontal="right" vertical="center" wrapText="1"/>
    </xf>
    <xf numFmtId="0" fontId="12" fillId="5" borderId="50" xfId="0" applyFont="1" applyFill="1" applyBorder="1" applyAlignment="1">
      <alignment horizontal="right" vertical="center" wrapText="1"/>
    </xf>
    <xf numFmtId="164" fontId="2" fillId="5" borderId="50" xfId="1" applyNumberFormat="1" applyFont="1" applyFill="1" applyBorder="1" applyAlignment="1">
      <alignment horizontal="right" vertical="center" wrapText="1"/>
    </xf>
    <xf numFmtId="164" fontId="2" fillId="5" borderId="6" xfId="1" applyNumberFormat="1" applyFont="1" applyFill="1" applyBorder="1" applyAlignment="1">
      <alignment horizontal="right" vertical="center" wrapText="1"/>
    </xf>
    <xf numFmtId="164" fontId="2" fillId="5" borderId="53" xfId="1" applyNumberFormat="1" applyFont="1" applyFill="1" applyBorder="1" applyAlignment="1">
      <alignment horizontal="right" vertical="center" wrapText="1"/>
    </xf>
    <xf numFmtId="165" fontId="11" fillId="5" borderId="50" xfId="0" applyNumberFormat="1" applyFont="1" applyFill="1" applyBorder="1" applyAlignment="1">
      <alignment horizontal="right" vertical="center" wrapText="1"/>
    </xf>
    <xf numFmtId="165" fontId="11" fillId="5" borderId="8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vertical="center"/>
    </xf>
    <xf numFmtId="0" fontId="12" fillId="6" borderId="50" xfId="0" applyFont="1" applyFill="1" applyBorder="1" applyAlignment="1">
      <alignment horizontal="right" vertical="center" wrapText="1"/>
    </xf>
    <xf numFmtId="164" fontId="2" fillId="6" borderId="51" xfId="1" applyNumberFormat="1" applyFont="1" applyFill="1" applyBorder="1" applyAlignment="1">
      <alignment vertical="center" wrapText="1"/>
    </xf>
    <xf numFmtId="165" fontId="11" fillId="6" borderId="50" xfId="0" applyNumberFormat="1" applyFont="1" applyFill="1" applyBorder="1" applyAlignment="1">
      <alignment horizontal="right" vertical="center" wrapText="1"/>
    </xf>
    <xf numFmtId="165" fontId="11" fillId="6" borderId="8" xfId="0" applyNumberFormat="1" applyFont="1" applyFill="1" applyBorder="1" applyAlignment="1">
      <alignment horizontal="right" vertical="center" wrapText="1"/>
    </xf>
    <xf numFmtId="0" fontId="13" fillId="0" borderId="50" xfId="0" applyFont="1" applyBorder="1" applyAlignment="1">
      <alignment horizontal="right" wrapText="1"/>
    </xf>
    <xf numFmtId="165" fontId="11" fillId="0" borderId="50" xfId="0" applyNumberFormat="1" applyFont="1" applyBorder="1" applyAlignment="1">
      <alignment horizontal="right" wrapText="1"/>
    </xf>
    <xf numFmtId="0" fontId="4" fillId="0" borderId="34" xfId="0" applyFont="1" applyBorder="1" applyAlignment="1">
      <alignment horizontal="left" wrapText="1"/>
    </xf>
    <xf numFmtId="164" fontId="4" fillId="0" borderId="51" xfId="1" applyNumberFormat="1" applyFont="1" applyBorder="1" applyAlignment="1">
      <alignment horizontal="right" vertical="center" wrapText="1"/>
    </xf>
    <xf numFmtId="164" fontId="2" fillId="0" borderId="51" xfId="1" applyNumberFormat="1" applyFont="1" applyBorder="1" applyAlignment="1">
      <alignment horizontal="right" vertical="center" wrapText="1"/>
    </xf>
    <xf numFmtId="0" fontId="13" fillId="0" borderId="50" xfId="0" applyFont="1" applyBorder="1" applyAlignment="1">
      <alignment horizontal="right" vertical="center" wrapText="1"/>
    </xf>
    <xf numFmtId="0" fontId="4" fillId="0" borderId="51" xfId="0" applyFont="1" applyBorder="1" applyAlignment="1">
      <alignment vertical="center" wrapText="1"/>
    </xf>
    <xf numFmtId="164" fontId="4" fillId="0" borderId="51" xfId="1" applyNumberFormat="1" applyFont="1" applyBorder="1" applyAlignment="1">
      <alignment vertical="center" wrapText="1"/>
    </xf>
    <xf numFmtId="1" fontId="4" fillId="0" borderId="7" xfId="1" applyNumberFormat="1" applyFont="1" applyBorder="1" applyAlignment="1">
      <alignment vertical="center" wrapText="1"/>
    </xf>
    <xf numFmtId="164" fontId="4" fillId="0" borderId="50" xfId="1" applyNumberFormat="1" applyFont="1" applyBorder="1" applyAlignment="1">
      <alignment vertical="center" wrapText="1"/>
    </xf>
    <xf numFmtId="164" fontId="4" fillId="0" borderId="52" xfId="1" applyNumberFormat="1" applyFont="1" applyBorder="1" applyAlignment="1">
      <alignment vertical="center" wrapText="1"/>
    </xf>
    <xf numFmtId="164" fontId="4" fillId="0" borderId="6" xfId="1" applyNumberFormat="1" applyFont="1" applyBorder="1" applyAlignment="1">
      <alignment vertical="center" wrapText="1"/>
    </xf>
    <xf numFmtId="164" fontId="2" fillId="0" borderId="53" xfId="1" applyNumberFormat="1" applyFont="1" applyBorder="1" applyAlignment="1">
      <alignment vertical="center" wrapText="1"/>
    </xf>
    <xf numFmtId="44" fontId="11" fillId="0" borderId="50" xfId="0" applyNumberFormat="1" applyFont="1" applyBorder="1" applyAlignment="1">
      <alignment vertical="center" wrapText="1"/>
    </xf>
    <xf numFmtId="44" fontId="11" fillId="0" borderId="8" xfId="0" applyNumberFormat="1" applyFont="1" applyBorder="1" applyAlignment="1">
      <alignment vertical="center" wrapText="1"/>
    </xf>
    <xf numFmtId="0" fontId="4" fillId="0" borderId="51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center" wrapText="1"/>
    </xf>
    <xf numFmtId="164" fontId="2" fillId="0" borderId="53" xfId="1" applyNumberFormat="1" applyFont="1" applyBorder="1" applyAlignment="1">
      <alignment horizontal="right" wrapText="1"/>
    </xf>
    <xf numFmtId="164" fontId="2" fillId="0" borderId="7" xfId="1" applyNumberFormat="1" applyFont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0" fontId="4" fillId="0" borderId="6" xfId="0" applyFont="1" applyBorder="1" applyAlignment="1">
      <alignment horizontal="left" wrapText="1"/>
    </xf>
    <xf numFmtId="49" fontId="4" fillId="0" borderId="51" xfId="0" applyNumberFormat="1" applyFont="1" applyBorder="1" applyAlignment="1">
      <alignment vertical="center" wrapText="1"/>
    </xf>
    <xf numFmtId="1" fontId="4" fillId="0" borderId="0" xfId="1" applyNumberFormat="1" applyFont="1" applyAlignment="1">
      <alignment horizontal="right" wrapText="1"/>
    </xf>
    <xf numFmtId="0" fontId="4" fillId="0" borderId="51" xfId="0" applyFont="1" applyBorder="1" applyAlignment="1">
      <alignment horizontal="left" vertical="center" wrapText="1"/>
    </xf>
    <xf numFmtId="164" fontId="2" fillId="0" borderId="37" xfId="1" applyNumberFormat="1" applyFont="1" applyBorder="1" applyAlignment="1">
      <alignment horizontal="right" wrapText="1"/>
    </xf>
    <xf numFmtId="164" fontId="2" fillId="6" borderId="37" xfId="1" applyNumberFormat="1" applyFont="1" applyFill="1" applyBorder="1" applyAlignment="1">
      <alignment horizontal="right" vertical="center" wrapText="1"/>
    </xf>
    <xf numFmtId="44" fontId="3" fillId="0" borderId="0" xfId="0" applyNumberFormat="1" applyFont="1" applyAlignment="1">
      <alignment vertical="center"/>
    </xf>
    <xf numFmtId="164" fontId="4" fillId="0" borderId="22" xfId="1" applyNumberFormat="1" applyFont="1" applyBorder="1" applyAlignment="1">
      <alignment horizontal="right" wrapText="1"/>
    </xf>
    <xf numFmtId="165" fontId="14" fillId="0" borderId="50" xfId="0" applyNumberFormat="1" applyFont="1" applyBorder="1" applyAlignment="1">
      <alignment horizontal="right" wrapText="1"/>
    </xf>
    <xf numFmtId="165" fontId="14" fillId="0" borderId="8" xfId="0" applyNumberFormat="1" applyFont="1" applyBorder="1" applyAlignment="1">
      <alignment horizontal="right" wrapText="1"/>
    </xf>
    <xf numFmtId="44" fontId="3" fillId="0" borderId="0" xfId="0" applyNumberFormat="1" applyFont="1"/>
    <xf numFmtId="164" fontId="4" fillId="0" borderId="54" xfId="1" applyNumberFormat="1" applyFont="1" applyBorder="1" applyAlignment="1">
      <alignment horizontal="right" wrapText="1"/>
    </xf>
    <xf numFmtId="49" fontId="4" fillId="0" borderId="34" xfId="0" applyNumberFormat="1" applyFont="1" applyBorder="1" applyAlignment="1">
      <alignment vertical="center" wrapText="1"/>
    </xf>
    <xf numFmtId="44" fontId="11" fillId="0" borderId="50" xfId="0" applyNumberFormat="1" applyFont="1" applyBorder="1" applyAlignment="1">
      <alignment horizontal="right" wrapText="1"/>
    </xf>
    <xf numFmtId="44" fontId="11" fillId="0" borderId="8" xfId="0" applyNumberFormat="1" applyFont="1" applyBorder="1" applyAlignment="1">
      <alignment horizontal="right" wrapText="1"/>
    </xf>
    <xf numFmtId="0" fontId="4" fillId="0" borderId="33" xfId="0" applyFont="1" applyBorder="1" applyAlignment="1">
      <alignment horizontal="left" wrapText="1"/>
    </xf>
    <xf numFmtId="164" fontId="4" fillId="0" borderId="33" xfId="1" applyNumberFormat="1" applyFont="1" applyBorder="1" applyAlignment="1">
      <alignment horizontal="right" wrapText="1"/>
    </xf>
    <xf numFmtId="164" fontId="4" fillId="0" borderId="33" xfId="1" applyNumberFormat="1" applyFont="1" applyBorder="1" applyAlignment="1">
      <alignment wrapText="1"/>
    </xf>
    <xf numFmtId="1" fontId="4" fillId="0" borderId="36" xfId="1" applyNumberFormat="1" applyFont="1" applyBorder="1" applyAlignment="1">
      <alignment horizontal="right" wrapText="1"/>
    </xf>
    <xf numFmtId="164" fontId="4" fillId="0" borderId="35" xfId="1" applyNumberFormat="1" applyFont="1" applyBorder="1" applyAlignment="1">
      <alignment horizontal="right" wrapText="1"/>
    </xf>
    <xf numFmtId="164" fontId="4" fillId="0" borderId="30" xfId="1" applyNumberFormat="1" applyFont="1" applyBorder="1" applyAlignment="1">
      <alignment horizontal="right" wrapText="1"/>
    </xf>
    <xf numFmtId="164" fontId="4" fillId="0" borderId="29" xfId="1" applyNumberFormat="1" applyFont="1" applyBorder="1" applyAlignment="1">
      <alignment horizontal="right" wrapText="1"/>
    </xf>
    <xf numFmtId="164" fontId="4" fillId="0" borderId="37" xfId="1" applyNumberFormat="1" applyFont="1" applyBorder="1" applyAlignment="1">
      <alignment horizontal="right" wrapText="1"/>
    </xf>
    <xf numFmtId="165" fontId="14" fillId="0" borderId="35" xfId="0" applyNumberFormat="1" applyFont="1" applyBorder="1" applyAlignment="1">
      <alignment horizontal="right" wrapText="1"/>
    </xf>
    <xf numFmtId="165" fontId="14" fillId="0" borderId="38" xfId="0" applyNumberFormat="1" applyFont="1" applyBorder="1" applyAlignment="1">
      <alignment horizontal="right" wrapText="1"/>
    </xf>
    <xf numFmtId="1" fontId="4" fillId="0" borderId="52" xfId="1" applyNumberFormat="1" applyFont="1" applyBorder="1" applyAlignment="1">
      <alignment horizontal="right" wrapText="1"/>
    </xf>
    <xf numFmtId="164" fontId="4" fillId="0" borderId="49" xfId="1" applyNumberFormat="1" applyFont="1" applyBorder="1" applyAlignment="1">
      <alignment horizontal="right" wrapText="1"/>
    </xf>
    <xf numFmtId="164" fontId="4" fillId="0" borderId="28" xfId="1" applyNumberFormat="1" applyFont="1" applyBorder="1" applyAlignment="1">
      <alignment horizontal="right" wrapText="1"/>
    </xf>
    <xf numFmtId="164" fontId="4" fillId="0" borderId="46" xfId="1" applyNumberFormat="1" applyFont="1" applyBorder="1" applyAlignment="1">
      <alignment horizontal="right" wrapText="1"/>
    </xf>
    <xf numFmtId="165" fontId="14" fillId="0" borderId="47" xfId="0" applyNumberFormat="1" applyFont="1" applyBorder="1" applyAlignment="1">
      <alignment horizontal="right" wrapText="1"/>
    </xf>
    <xf numFmtId="0" fontId="4" fillId="0" borderId="55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wrapText="1"/>
    </xf>
    <xf numFmtId="164" fontId="4" fillId="0" borderId="55" xfId="1" applyNumberFormat="1" applyFont="1" applyBorder="1" applyAlignment="1">
      <alignment horizontal="right" wrapText="1"/>
    </xf>
    <xf numFmtId="164" fontId="4" fillId="0" borderId="55" xfId="1" applyNumberFormat="1" applyFont="1" applyBorder="1" applyAlignment="1">
      <alignment wrapText="1"/>
    </xf>
    <xf numFmtId="1" fontId="4" fillId="0" borderId="56" xfId="1" applyNumberFormat="1" applyFont="1" applyBorder="1" applyAlignment="1">
      <alignment horizontal="right" wrapText="1"/>
    </xf>
    <xf numFmtId="164" fontId="4" fillId="0" borderId="57" xfId="1" applyNumberFormat="1" applyFont="1" applyBorder="1" applyAlignment="1">
      <alignment horizontal="right" wrapText="1"/>
    </xf>
    <xf numFmtId="164" fontId="4" fillId="0" borderId="58" xfId="1" applyNumberFormat="1" applyFont="1" applyBorder="1" applyAlignment="1">
      <alignment horizontal="right" wrapText="1"/>
    </xf>
    <xf numFmtId="164" fontId="4" fillId="0" borderId="25" xfId="1" applyNumberFormat="1" applyFont="1" applyBorder="1" applyAlignment="1">
      <alignment horizontal="right" wrapText="1"/>
    </xf>
    <xf numFmtId="164" fontId="4" fillId="0" borderId="56" xfId="1" applyNumberFormat="1" applyFont="1" applyBorder="1" applyAlignment="1">
      <alignment horizontal="right" wrapText="1"/>
    </xf>
    <xf numFmtId="165" fontId="14" fillId="0" borderId="23" xfId="0" applyNumberFormat="1" applyFont="1" applyBorder="1" applyAlignment="1">
      <alignment horizontal="right" wrapText="1"/>
    </xf>
    <xf numFmtId="165" fontId="14" fillId="0" borderId="59" xfId="0" applyNumberFormat="1" applyFont="1" applyBorder="1" applyAlignment="1">
      <alignment horizontal="right" wrapText="1"/>
    </xf>
    <xf numFmtId="0" fontId="12" fillId="4" borderId="18" xfId="0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left" vertical="center" wrapText="1"/>
    </xf>
    <xf numFmtId="164" fontId="2" fillId="4" borderId="14" xfId="1" applyNumberFormat="1" applyFont="1" applyFill="1" applyBorder="1" applyAlignment="1">
      <alignment horizontal="right" vertical="center" wrapText="1"/>
    </xf>
    <xf numFmtId="1" fontId="2" fillId="4" borderId="44" xfId="1" applyNumberFormat="1" applyFont="1" applyFill="1" applyBorder="1" applyAlignment="1">
      <alignment horizontal="right" vertical="center" wrapText="1"/>
    </xf>
    <xf numFmtId="164" fontId="2" fillId="4" borderId="18" xfId="1" applyNumberFormat="1" applyFont="1" applyFill="1" applyBorder="1" applyAlignment="1">
      <alignment horizontal="right" vertical="center" wrapText="1"/>
    </xf>
    <xf numFmtId="164" fontId="2" fillId="4" borderId="15" xfId="1" applyNumberFormat="1" applyFont="1" applyFill="1" applyBorder="1" applyAlignment="1">
      <alignment horizontal="right" vertical="center" wrapText="1"/>
    </xf>
    <xf numFmtId="164" fontId="2" fillId="4" borderId="13" xfId="1" applyNumberFormat="1" applyFont="1" applyFill="1" applyBorder="1" applyAlignment="1">
      <alignment horizontal="right" vertical="center" wrapText="1"/>
    </xf>
    <xf numFmtId="164" fontId="2" fillId="4" borderId="44" xfId="1" applyNumberFormat="1" applyFont="1" applyFill="1" applyBorder="1" applyAlignment="1">
      <alignment horizontal="right" vertical="center" wrapText="1"/>
    </xf>
    <xf numFmtId="164" fontId="2" fillId="4" borderId="45" xfId="1" applyNumberFormat="1" applyFont="1" applyFill="1" applyBorder="1" applyAlignment="1">
      <alignment horizontal="right" vertical="center" wrapText="1"/>
    </xf>
    <xf numFmtId="165" fontId="11" fillId="4" borderId="45" xfId="0" applyNumberFormat="1" applyFont="1" applyFill="1" applyBorder="1" applyAlignment="1">
      <alignment horizontal="right" vertical="center" wrapText="1"/>
    </xf>
    <xf numFmtId="165" fontId="11" fillId="4" borderId="60" xfId="0" applyNumberFormat="1" applyFont="1" applyFill="1" applyBorder="1" applyAlignment="1">
      <alignment horizontal="right" vertical="center" wrapText="1"/>
    </xf>
    <xf numFmtId="0" fontId="12" fillId="6" borderId="49" xfId="0" applyFont="1" applyFill="1" applyBorder="1" applyAlignment="1">
      <alignment horizontal="right" vertical="center" wrapText="1"/>
    </xf>
    <xf numFmtId="0" fontId="2" fillId="6" borderId="28" xfId="0" applyFont="1" applyFill="1" applyBorder="1" applyAlignment="1">
      <alignment horizontal="left" vertical="center" wrapText="1"/>
    </xf>
    <xf numFmtId="164" fontId="2" fillId="6" borderId="28" xfId="1" applyNumberFormat="1" applyFont="1" applyFill="1" applyBorder="1" applyAlignment="1">
      <alignment horizontal="right" vertical="center" wrapText="1"/>
    </xf>
    <xf numFmtId="1" fontId="2" fillId="6" borderId="46" xfId="1" applyNumberFormat="1" applyFont="1" applyFill="1" applyBorder="1" applyAlignment="1">
      <alignment horizontal="right" vertical="center" wrapText="1"/>
    </xf>
    <xf numFmtId="164" fontId="2" fillId="6" borderId="49" xfId="1" applyNumberFormat="1" applyFont="1" applyFill="1" applyBorder="1" applyAlignment="1">
      <alignment horizontal="right" vertical="center" wrapText="1"/>
    </xf>
    <xf numFmtId="164" fontId="2" fillId="6" borderId="48" xfId="1" applyNumberFormat="1" applyFont="1" applyFill="1" applyBorder="1" applyAlignment="1">
      <alignment horizontal="right" vertical="center" wrapText="1"/>
    </xf>
    <xf numFmtId="164" fontId="2" fillId="6" borderId="27" xfId="1" applyNumberFormat="1" applyFont="1" applyFill="1" applyBorder="1" applyAlignment="1">
      <alignment horizontal="right" vertical="center" wrapText="1"/>
    </xf>
    <xf numFmtId="164" fontId="2" fillId="6" borderId="46" xfId="1" applyNumberFormat="1" applyFont="1" applyFill="1" applyBorder="1" applyAlignment="1">
      <alignment horizontal="right" vertical="center" wrapText="1"/>
    </xf>
    <xf numFmtId="164" fontId="2" fillId="6" borderId="54" xfId="1" applyNumberFormat="1" applyFont="1" applyFill="1" applyBorder="1" applyAlignment="1">
      <alignment horizontal="right" vertical="center" wrapText="1"/>
    </xf>
    <xf numFmtId="165" fontId="11" fillId="6" borderId="49" xfId="0" applyNumberFormat="1" applyFont="1" applyFill="1" applyBorder="1" applyAlignment="1">
      <alignment horizontal="right" vertical="center" wrapText="1"/>
    </xf>
    <xf numFmtId="165" fontId="11" fillId="6" borderId="47" xfId="0" applyNumberFormat="1" applyFont="1" applyFill="1" applyBorder="1" applyAlignment="1">
      <alignment horizontal="right" vertical="center" wrapText="1"/>
    </xf>
    <xf numFmtId="0" fontId="4" fillId="0" borderId="28" xfId="0" applyFont="1" applyBorder="1" applyAlignment="1">
      <alignment horizontal="left" vertical="center" wrapText="1"/>
    </xf>
    <xf numFmtId="164" fontId="4" fillId="0" borderId="28" xfId="1" applyNumberFormat="1" applyFont="1" applyBorder="1" applyAlignment="1">
      <alignment horizontal="right" vertical="center" wrapText="1"/>
    </xf>
    <xf numFmtId="1" fontId="4" fillId="0" borderId="46" xfId="1" applyNumberFormat="1" applyFont="1" applyBorder="1" applyAlignment="1">
      <alignment horizontal="right" vertical="center" wrapText="1"/>
    </xf>
    <xf numFmtId="164" fontId="4" fillId="0" borderId="49" xfId="1" applyNumberFormat="1" applyFont="1" applyBorder="1" applyAlignment="1">
      <alignment horizontal="right" vertical="center" wrapText="1"/>
    </xf>
    <xf numFmtId="164" fontId="4" fillId="0" borderId="48" xfId="1" applyNumberFormat="1" applyFont="1" applyBorder="1" applyAlignment="1">
      <alignment horizontal="right" vertical="center" wrapText="1"/>
    </xf>
    <xf numFmtId="164" fontId="4" fillId="0" borderId="27" xfId="1" applyNumberFormat="1" applyFont="1" applyBorder="1" applyAlignment="1">
      <alignment horizontal="right" vertical="center" wrapText="1"/>
    </xf>
    <xf numFmtId="164" fontId="4" fillId="0" borderId="46" xfId="1" applyNumberFormat="1" applyFont="1" applyBorder="1" applyAlignment="1">
      <alignment horizontal="right" vertical="center" wrapText="1"/>
    </xf>
    <xf numFmtId="164" fontId="4" fillId="0" borderId="54" xfId="1" applyNumberFormat="1" applyFont="1" applyBorder="1" applyAlignment="1">
      <alignment horizontal="right" vertical="center" wrapText="1"/>
    </xf>
    <xf numFmtId="165" fontId="14" fillId="0" borderId="49" xfId="0" applyNumberFormat="1" applyFont="1" applyBorder="1" applyAlignment="1">
      <alignment horizontal="right" vertical="center" wrapText="1"/>
    </xf>
    <xf numFmtId="165" fontId="14" fillId="0" borderId="4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1" fontId="4" fillId="0" borderId="7" xfId="1" applyNumberFormat="1" applyFont="1" applyBorder="1" applyAlignment="1">
      <alignment horizontal="right" vertical="center" wrapText="1"/>
    </xf>
    <xf numFmtId="164" fontId="4" fillId="0" borderId="50" xfId="1" applyNumberFormat="1" applyFont="1" applyBorder="1" applyAlignment="1">
      <alignment horizontal="right" vertical="center" wrapText="1"/>
    </xf>
    <xf numFmtId="164" fontId="4" fillId="0" borderId="52" xfId="1" applyNumberFormat="1" applyFont="1" applyBorder="1" applyAlignment="1">
      <alignment horizontal="right" vertical="center" wrapText="1"/>
    </xf>
    <xf numFmtId="164" fontId="4" fillId="0" borderId="6" xfId="1" applyNumberFormat="1" applyFont="1" applyBorder="1" applyAlignment="1">
      <alignment horizontal="right" vertical="center" wrapText="1"/>
    </xf>
    <xf numFmtId="164" fontId="4" fillId="0" borderId="7" xfId="1" applyNumberFormat="1" applyFont="1" applyBorder="1" applyAlignment="1">
      <alignment horizontal="right" vertical="center" wrapText="1"/>
    </xf>
    <xf numFmtId="164" fontId="4" fillId="0" borderId="53" xfId="1" applyNumberFormat="1" applyFont="1" applyBorder="1" applyAlignment="1">
      <alignment horizontal="right" vertical="center" wrapText="1"/>
    </xf>
    <xf numFmtId="165" fontId="14" fillId="0" borderId="50" xfId="0" applyNumberFormat="1" applyFont="1" applyBorder="1" applyAlignment="1">
      <alignment horizontal="right" vertical="center" wrapText="1"/>
    </xf>
    <xf numFmtId="165" fontId="14" fillId="0" borderId="8" xfId="0" applyNumberFormat="1" applyFont="1" applyBorder="1" applyAlignment="1">
      <alignment horizontal="right" vertical="center" wrapText="1"/>
    </xf>
    <xf numFmtId="165" fontId="11" fillId="0" borderId="61" xfId="0" applyNumberFormat="1" applyFont="1" applyBorder="1" applyAlignment="1">
      <alignment horizontal="right" wrapText="1"/>
    </xf>
    <xf numFmtId="164" fontId="2" fillId="2" borderId="53" xfId="1" applyNumberFormat="1" applyFont="1" applyFill="1" applyBorder="1" applyAlignment="1">
      <alignment horizontal="right" wrapText="1"/>
    </xf>
    <xf numFmtId="0" fontId="13" fillId="0" borderId="35" xfId="0" applyFont="1" applyBorder="1" applyAlignment="1">
      <alignment horizontal="right" vertical="center" wrapText="1"/>
    </xf>
    <xf numFmtId="164" fontId="4" fillId="2" borderId="51" xfId="1" applyNumberFormat="1" applyFont="1" applyFill="1" applyBorder="1" applyAlignment="1">
      <alignment horizontal="right" vertical="center" wrapText="1"/>
    </xf>
    <xf numFmtId="164" fontId="2" fillId="0" borderId="53" xfId="1" applyNumberFormat="1" applyFont="1" applyBorder="1" applyAlignment="1">
      <alignment horizontal="right" vertical="center" wrapText="1"/>
    </xf>
    <xf numFmtId="165" fontId="11" fillId="0" borderId="50" xfId="0" applyNumberFormat="1" applyFont="1" applyBorder="1" applyAlignment="1">
      <alignment horizontal="right" vertical="center" wrapText="1"/>
    </xf>
    <xf numFmtId="165" fontId="11" fillId="0" borderId="8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left" vertical="center" wrapText="1"/>
    </xf>
    <xf numFmtId="0" fontId="16" fillId="6" borderId="61" xfId="0" applyFont="1" applyFill="1" applyBorder="1" applyAlignment="1">
      <alignment horizontal="right" vertical="center" wrapText="1"/>
    </xf>
    <xf numFmtId="164" fontId="4" fillId="2" borderId="33" xfId="1" applyNumberFormat="1" applyFont="1" applyFill="1" applyBorder="1" applyAlignment="1">
      <alignment horizontal="right" wrapText="1"/>
    </xf>
    <xf numFmtId="165" fontId="4" fillId="0" borderId="50" xfId="0" applyNumberFormat="1" applyFont="1" applyBorder="1" applyAlignment="1">
      <alignment horizontal="right" wrapText="1"/>
    </xf>
    <xf numFmtId="165" fontId="4" fillId="0" borderId="51" xfId="0" applyNumberFormat="1" applyFont="1" applyBorder="1" applyAlignment="1">
      <alignment horizontal="right" wrapText="1"/>
    </xf>
    <xf numFmtId="165" fontId="4" fillId="0" borderId="52" xfId="0" applyNumberFormat="1" applyFont="1" applyBorder="1" applyAlignment="1">
      <alignment horizontal="right" wrapText="1"/>
    </xf>
    <xf numFmtId="165" fontId="4" fillId="0" borderId="6" xfId="0" applyNumberFormat="1" applyFont="1" applyBorder="1" applyAlignment="1">
      <alignment horizontal="right" wrapText="1"/>
    </xf>
    <xf numFmtId="165" fontId="4" fillId="0" borderId="7" xfId="0" applyNumberFormat="1" applyFont="1" applyBorder="1" applyAlignment="1">
      <alignment horizontal="right" wrapText="1"/>
    </xf>
    <xf numFmtId="165" fontId="4" fillId="0" borderId="53" xfId="0" applyNumberFormat="1" applyFont="1" applyBorder="1" applyAlignment="1">
      <alignment horizontal="right" wrapText="1"/>
    </xf>
    <xf numFmtId="165" fontId="11" fillId="0" borderId="62" xfId="0" applyNumberFormat="1" applyFont="1" applyBorder="1" applyAlignment="1">
      <alignment horizontal="right" wrapText="1"/>
    </xf>
    <xf numFmtId="165" fontId="11" fillId="0" borderId="52" xfId="0" applyNumberFormat="1" applyFont="1" applyBorder="1" applyAlignment="1">
      <alignment horizontal="right" wrapText="1"/>
    </xf>
    <xf numFmtId="165" fontId="4" fillId="0" borderId="35" xfId="0" applyNumberFormat="1" applyFont="1" applyBorder="1" applyAlignment="1">
      <alignment horizontal="right" wrapText="1"/>
    </xf>
    <xf numFmtId="165" fontId="4" fillId="0" borderId="33" xfId="0" applyNumberFormat="1" applyFont="1" applyBorder="1" applyAlignment="1">
      <alignment horizontal="right" wrapText="1"/>
    </xf>
    <xf numFmtId="165" fontId="4" fillId="0" borderId="30" xfId="0" applyNumberFormat="1" applyFont="1" applyBorder="1" applyAlignment="1">
      <alignment horizontal="right" wrapText="1"/>
    </xf>
    <xf numFmtId="165" fontId="4" fillId="0" borderId="29" xfId="0" applyNumberFormat="1" applyFont="1" applyBorder="1" applyAlignment="1">
      <alignment horizontal="right" wrapText="1"/>
    </xf>
    <xf numFmtId="165" fontId="4" fillId="0" borderId="36" xfId="0" applyNumberFormat="1" applyFont="1" applyBorder="1" applyAlignment="1">
      <alignment horizontal="right" wrapText="1"/>
    </xf>
    <xf numFmtId="165" fontId="4" fillId="0" borderId="37" xfId="0" applyNumberFormat="1" applyFont="1" applyBorder="1" applyAlignment="1">
      <alignment horizontal="right" wrapText="1"/>
    </xf>
    <xf numFmtId="165" fontId="11" fillId="0" borderId="63" xfId="0" applyNumberFormat="1" applyFont="1" applyBorder="1" applyAlignment="1">
      <alignment horizontal="right" wrapText="1"/>
    </xf>
    <xf numFmtId="0" fontId="12" fillId="4" borderId="10" xfId="0" applyFont="1" applyFill="1" applyBorder="1" applyAlignment="1">
      <alignment horizontal="right" wrapText="1"/>
    </xf>
    <xf numFmtId="0" fontId="2" fillId="4" borderId="55" xfId="0" applyFont="1" applyFill="1" applyBorder="1" applyAlignment="1">
      <alignment horizontal="left" wrapText="1"/>
    </xf>
    <xf numFmtId="164" fontId="2" fillId="4" borderId="55" xfId="1" applyNumberFormat="1" applyFont="1" applyFill="1" applyBorder="1" applyAlignment="1">
      <alignment horizontal="right" wrapText="1"/>
    </xf>
    <xf numFmtId="1" fontId="2" fillId="4" borderId="11" xfId="1" applyNumberFormat="1" applyFont="1" applyFill="1" applyBorder="1" applyAlignment="1">
      <alignment horizontal="right" wrapText="1"/>
    </xf>
    <xf numFmtId="164" fontId="2" fillId="4" borderId="10" xfId="1" applyNumberFormat="1" applyFont="1" applyFill="1" applyBorder="1" applyAlignment="1">
      <alignment horizontal="right" wrapText="1"/>
    </xf>
    <xf numFmtId="164" fontId="2" fillId="4" borderId="31" xfId="1" applyNumberFormat="1" applyFont="1" applyFill="1" applyBorder="1" applyAlignment="1">
      <alignment horizontal="right" wrapText="1"/>
    </xf>
    <xf numFmtId="164" fontId="2" fillId="4" borderId="32" xfId="1" applyNumberFormat="1" applyFont="1" applyFill="1" applyBorder="1" applyAlignment="1">
      <alignment horizontal="right" wrapText="1"/>
    </xf>
    <xf numFmtId="164" fontId="2" fillId="4" borderId="64" xfId="1" applyNumberFormat="1" applyFont="1" applyFill="1" applyBorder="1" applyAlignment="1">
      <alignment horizontal="right" wrapText="1"/>
    </xf>
    <xf numFmtId="164" fontId="2" fillId="4" borderId="11" xfId="1" applyNumberFormat="1" applyFont="1" applyFill="1" applyBorder="1" applyAlignment="1">
      <alignment horizontal="right" wrapText="1"/>
    </xf>
    <xf numFmtId="164" fontId="2" fillId="4" borderId="12" xfId="1" applyNumberFormat="1" applyFont="1" applyFill="1" applyBorder="1" applyAlignment="1">
      <alignment horizontal="right" wrapText="1"/>
    </xf>
    <xf numFmtId="164" fontId="4" fillId="4" borderId="32" xfId="1" applyNumberFormat="1" applyFont="1" applyFill="1" applyBorder="1" applyAlignment="1">
      <alignment horizontal="right" wrapText="1"/>
    </xf>
    <xf numFmtId="165" fontId="11" fillId="4" borderId="12" xfId="0" applyNumberFormat="1" applyFont="1" applyFill="1" applyBorder="1" applyAlignment="1">
      <alignment horizontal="right" wrapText="1"/>
    </xf>
    <xf numFmtId="165" fontId="11" fillId="4" borderId="65" xfId="0" applyNumberFormat="1" applyFont="1" applyFill="1" applyBorder="1" applyAlignment="1">
      <alignment horizontal="right" wrapText="1"/>
    </xf>
    <xf numFmtId="44" fontId="12" fillId="0" borderId="0" xfId="0" applyNumberFormat="1" applyFont="1" applyAlignment="1">
      <alignment horizontal="right" wrapText="1"/>
    </xf>
    <xf numFmtId="0" fontId="9" fillId="0" borderId="0" xfId="0" applyFont="1"/>
    <xf numFmtId="0" fontId="12" fillId="4" borderId="18" xfId="0" applyFont="1" applyFill="1" applyBorder="1" applyAlignment="1">
      <alignment horizontal="right" wrapText="1"/>
    </xf>
    <xf numFmtId="0" fontId="2" fillId="4" borderId="14" xfId="0" applyFont="1" applyFill="1" applyBorder="1" applyAlignment="1">
      <alignment horizontal="left" vertical="top" wrapText="1"/>
    </xf>
    <xf numFmtId="164" fontId="2" fillId="4" borderId="14" xfId="1" applyNumberFormat="1" applyFont="1" applyFill="1" applyBorder="1" applyAlignment="1">
      <alignment horizontal="right" wrapText="1"/>
    </xf>
    <xf numFmtId="1" fontId="2" fillId="4" borderId="44" xfId="1" applyNumberFormat="1" applyFont="1" applyFill="1" applyBorder="1" applyAlignment="1">
      <alignment horizontal="right" wrapText="1"/>
    </xf>
    <xf numFmtId="164" fontId="2" fillId="4" borderId="18" xfId="1" applyNumberFormat="1" applyFont="1" applyFill="1" applyBorder="1" applyAlignment="1">
      <alignment horizontal="right" wrapText="1"/>
    </xf>
    <xf numFmtId="164" fontId="2" fillId="4" borderId="15" xfId="1" applyNumberFormat="1" applyFont="1" applyFill="1" applyBorder="1" applyAlignment="1">
      <alignment horizontal="right" wrapText="1"/>
    </xf>
    <xf numFmtId="164" fontId="2" fillId="4" borderId="13" xfId="1" applyNumberFormat="1" applyFont="1" applyFill="1" applyBorder="1" applyAlignment="1">
      <alignment horizontal="right" wrapText="1"/>
    </xf>
    <xf numFmtId="164" fontId="2" fillId="4" borderId="44" xfId="1" applyNumberFormat="1" applyFont="1" applyFill="1" applyBorder="1" applyAlignment="1">
      <alignment horizontal="right" wrapText="1"/>
    </xf>
    <xf numFmtId="164" fontId="2" fillId="4" borderId="66" xfId="1" applyNumberFormat="1" applyFont="1" applyFill="1" applyBorder="1" applyAlignment="1">
      <alignment horizontal="right" wrapText="1"/>
    </xf>
    <xf numFmtId="164" fontId="4" fillId="4" borderId="15" xfId="1" applyNumberFormat="1" applyFont="1" applyFill="1" applyBorder="1" applyAlignment="1">
      <alignment horizontal="right" wrapText="1"/>
    </xf>
    <xf numFmtId="165" fontId="11" fillId="4" borderId="45" xfId="0" applyNumberFormat="1" applyFont="1" applyFill="1" applyBorder="1" applyAlignment="1">
      <alignment horizontal="right" wrapText="1"/>
    </xf>
    <xf numFmtId="165" fontId="11" fillId="4" borderId="60" xfId="0" applyNumberFormat="1" applyFont="1" applyFill="1" applyBorder="1" applyAlignment="1">
      <alignment horizontal="right" wrapText="1"/>
    </xf>
    <xf numFmtId="0" fontId="12" fillId="6" borderId="45" xfId="0" applyFont="1" applyFill="1" applyBorder="1" applyAlignment="1">
      <alignment horizontal="right" vertical="center" wrapText="1"/>
    </xf>
    <xf numFmtId="0" fontId="2" fillId="6" borderId="60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164" fontId="2" fillId="6" borderId="14" xfId="1" applyNumberFormat="1" applyFont="1" applyFill="1" applyBorder="1" applyAlignment="1">
      <alignment horizontal="right" vertical="center" wrapText="1"/>
    </xf>
    <xf numFmtId="1" fontId="2" fillId="6" borderId="44" xfId="1" applyNumberFormat="1" applyFont="1" applyFill="1" applyBorder="1" applyAlignment="1">
      <alignment horizontal="right" vertical="center" wrapText="1"/>
    </xf>
    <xf numFmtId="164" fontId="2" fillId="6" borderId="18" xfId="1" applyNumberFormat="1" applyFont="1" applyFill="1" applyBorder="1" applyAlignment="1">
      <alignment horizontal="right" vertical="center" wrapText="1"/>
    </xf>
    <xf numFmtId="164" fontId="2" fillId="6" borderId="15" xfId="1" applyNumberFormat="1" applyFont="1" applyFill="1" applyBorder="1" applyAlignment="1">
      <alignment horizontal="right" vertical="center" wrapText="1"/>
    </xf>
    <xf numFmtId="164" fontId="2" fillId="6" borderId="13" xfId="1" applyNumberFormat="1" applyFont="1" applyFill="1" applyBorder="1" applyAlignment="1">
      <alignment horizontal="right" vertical="center" wrapText="1"/>
    </xf>
    <xf numFmtId="164" fontId="2" fillId="6" borderId="44" xfId="1" applyNumberFormat="1" applyFont="1" applyFill="1" applyBorder="1" applyAlignment="1">
      <alignment horizontal="right" vertical="center" wrapText="1"/>
    </xf>
    <xf numFmtId="164" fontId="2" fillId="6" borderId="66" xfId="1" applyNumberFormat="1" applyFont="1" applyFill="1" applyBorder="1" applyAlignment="1">
      <alignment horizontal="right" vertical="center" wrapText="1"/>
    </xf>
    <xf numFmtId="164" fontId="4" fillId="6" borderId="15" xfId="1" applyNumberFormat="1" applyFont="1" applyFill="1" applyBorder="1" applyAlignment="1">
      <alignment horizontal="right" vertical="center" wrapText="1"/>
    </xf>
    <xf numFmtId="0" fontId="13" fillId="0" borderId="54" xfId="0" applyFont="1" applyBorder="1" applyAlignment="1">
      <alignment horizontal="right" wrapText="1"/>
    </xf>
    <xf numFmtId="0" fontId="4" fillId="0" borderId="1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164" fontId="4" fillId="0" borderId="16" xfId="1" applyNumberFormat="1" applyFont="1" applyBorder="1" applyAlignment="1">
      <alignment horizontal="right" vertical="center" wrapText="1"/>
    </xf>
    <xf numFmtId="164" fontId="4" fillId="0" borderId="20" xfId="1" applyNumberFormat="1" applyFont="1" applyBorder="1" applyAlignment="1">
      <alignment horizontal="right" vertical="center" wrapText="1"/>
    </xf>
    <xf numFmtId="164" fontId="4" fillId="0" borderId="17" xfId="1" applyNumberFormat="1" applyFont="1" applyBorder="1" applyAlignment="1">
      <alignment horizontal="right" vertical="center" wrapText="1"/>
    </xf>
    <xf numFmtId="164" fontId="4" fillId="0" borderId="67" xfId="1" applyNumberFormat="1" applyFont="1" applyBorder="1" applyAlignment="1">
      <alignment horizontal="right" vertical="center" wrapText="1"/>
    </xf>
    <xf numFmtId="164" fontId="4" fillId="0" borderId="21" xfId="1" applyNumberFormat="1" applyFont="1" applyBorder="1" applyAlignment="1">
      <alignment horizontal="right" vertical="center" wrapText="1"/>
    </xf>
    <xf numFmtId="165" fontId="14" fillId="0" borderId="57" xfId="0" applyNumberFormat="1" applyFont="1" applyBorder="1" applyAlignment="1">
      <alignment horizontal="right" vertical="center" wrapText="1"/>
    </xf>
    <xf numFmtId="165" fontId="14" fillId="0" borderId="59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left" wrapText="1"/>
    </xf>
    <xf numFmtId="164" fontId="4" fillId="0" borderId="68" xfId="1" applyNumberFormat="1" applyFont="1" applyBorder="1" applyAlignment="1">
      <alignment horizontal="right" wrapText="1"/>
    </xf>
    <xf numFmtId="164" fontId="2" fillId="0" borderId="68" xfId="1" applyNumberFormat="1" applyFont="1" applyBorder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164" fontId="2" fillId="0" borderId="57" xfId="1" applyNumberFormat="1" applyFont="1" applyBorder="1" applyAlignment="1">
      <alignment horizontal="right" wrapText="1"/>
    </xf>
    <xf numFmtId="164" fontId="2" fillId="0" borderId="56" xfId="1" applyNumberFormat="1" applyFont="1" applyBorder="1" applyAlignment="1">
      <alignment horizontal="right" wrapText="1"/>
    </xf>
    <xf numFmtId="165" fontId="11" fillId="0" borderId="35" xfId="0" applyNumberFormat="1" applyFont="1" applyBorder="1" applyAlignment="1">
      <alignment horizontal="right" wrapText="1"/>
    </xf>
    <xf numFmtId="165" fontId="11" fillId="0" borderId="38" xfId="0" applyNumberFormat="1" applyFont="1" applyBorder="1" applyAlignment="1">
      <alignment horizontal="right" wrapText="1"/>
    </xf>
    <xf numFmtId="0" fontId="13" fillId="0" borderId="53" xfId="0" applyFont="1" applyBorder="1" applyAlignment="1">
      <alignment horizontal="right" wrapText="1"/>
    </xf>
    <xf numFmtId="164" fontId="2" fillId="0" borderId="52" xfId="1" applyNumberFormat="1" applyFont="1" applyBorder="1" applyAlignment="1">
      <alignment horizontal="right" wrapText="1"/>
    </xf>
    <xf numFmtId="164" fontId="4" fillId="0" borderId="5" xfId="1" applyNumberFormat="1" applyFont="1" applyBorder="1" applyAlignment="1">
      <alignment horizontal="right" wrapText="1"/>
    </xf>
    <xf numFmtId="164" fontId="2" fillId="0" borderId="50" xfId="1" applyNumberFormat="1" applyFont="1" applyBorder="1" applyAlignment="1">
      <alignment horizontal="right" wrapText="1"/>
    </xf>
    <xf numFmtId="164" fontId="2" fillId="0" borderId="30" xfId="1" applyNumberFormat="1" applyFont="1" applyBorder="1" applyAlignment="1">
      <alignment horizontal="right" wrapText="1"/>
    </xf>
    <xf numFmtId="164" fontId="4" fillId="0" borderId="34" xfId="1" applyNumberFormat="1" applyFont="1" applyBorder="1" applyAlignment="1">
      <alignment horizontal="right" wrapText="1"/>
    </xf>
    <xf numFmtId="164" fontId="2" fillId="0" borderId="35" xfId="1" applyNumberFormat="1" applyFont="1" applyBorder="1" applyAlignment="1">
      <alignment horizontal="right" wrapText="1"/>
    </xf>
    <xf numFmtId="164" fontId="2" fillId="0" borderId="36" xfId="1" applyNumberFormat="1" applyFont="1" applyBorder="1" applyAlignment="1">
      <alignment horizontal="right" wrapText="1"/>
    </xf>
    <xf numFmtId="165" fontId="11" fillId="0" borderId="30" xfId="0" applyNumberFormat="1" applyFont="1" applyBorder="1" applyAlignment="1">
      <alignment horizontal="right" wrapText="1"/>
    </xf>
    <xf numFmtId="0" fontId="4" fillId="0" borderId="58" xfId="0" applyFont="1" applyBorder="1" applyAlignment="1">
      <alignment horizontal="left" wrapText="1"/>
    </xf>
    <xf numFmtId="164" fontId="4" fillId="0" borderId="69" xfId="1" applyNumberFormat="1" applyFont="1" applyBorder="1" applyAlignment="1">
      <alignment horizontal="right" wrapText="1"/>
    </xf>
    <xf numFmtId="164" fontId="4" fillId="0" borderId="42" xfId="1" applyNumberFormat="1" applyFont="1" applyBorder="1" applyAlignment="1">
      <alignment horizontal="right" wrapText="1"/>
    </xf>
    <xf numFmtId="165" fontId="4" fillId="0" borderId="63" xfId="0" applyNumberFormat="1" applyFont="1" applyBorder="1" applyAlignment="1">
      <alignment horizontal="right" wrapText="1"/>
    </xf>
    <xf numFmtId="165" fontId="4" fillId="0" borderId="43" xfId="0" applyNumberFormat="1" applyFont="1" applyBorder="1" applyAlignment="1">
      <alignment horizontal="right" wrapText="1"/>
    </xf>
    <xf numFmtId="0" fontId="12" fillId="4" borderId="25" xfId="0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left" vertical="center" wrapText="1"/>
    </xf>
    <xf numFmtId="164" fontId="2" fillId="4" borderId="70" xfId="1" applyNumberFormat="1" applyFont="1" applyFill="1" applyBorder="1" applyAlignment="1">
      <alignment horizontal="right" vertical="center" wrapText="1"/>
    </xf>
    <xf numFmtId="164" fontId="4" fillId="4" borderId="15" xfId="1" applyNumberFormat="1" applyFont="1" applyFill="1" applyBorder="1" applyAlignment="1">
      <alignment horizontal="right" vertical="center" wrapText="1"/>
    </xf>
    <xf numFmtId="0" fontId="12" fillId="6" borderId="57" xfId="0" applyFont="1" applyFill="1" applyBorder="1" applyAlignment="1">
      <alignment horizontal="right" wrapText="1"/>
    </xf>
    <xf numFmtId="0" fontId="2" fillId="6" borderId="55" xfId="0" applyFont="1" applyFill="1" applyBorder="1" applyAlignment="1">
      <alignment horizontal="left" wrapText="1"/>
    </xf>
    <xf numFmtId="164" fontId="2" fillId="6" borderId="55" xfId="1" applyNumberFormat="1" applyFont="1" applyFill="1" applyBorder="1" applyAlignment="1">
      <alignment horizontal="right" wrapText="1"/>
    </xf>
    <xf numFmtId="1" fontId="2" fillId="6" borderId="56" xfId="1" applyNumberFormat="1" applyFont="1" applyFill="1" applyBorder="1" applyAlignment="1">
      <alignment horizontal="right" wrapText="1"/>
    </xf>
    <xf numFmtId="164" fontId="2" fillId="6" borderId="57" xfId="1" applyNumberFormat="1" applyFont="1" applyFill="1" applyBorder="1" applyAlignment="1">
      <alignment horizontal="right" wrapText="1"/>
    </xf>
    <xf numFmtId="164" fontId="2" fillId="6" borderId="68" xfId="1" applyNumberFormat="1" applyFont="1" applyFill="1" applyBorder="1" applyAlignment="1">
      <alignment horizontal="right" wrapText="1"/>
    </xf>
    <xf numFmtId="164" fontId="2" fillId="6" borderId="58" xfId="1" applyNumberFormat="1" applyFont="1" applyFill="1" applyBorder="1" applyAlignment="1">
      <alignment horizontal="right" wrapText="1"/>
    </xf>
    <xf numFmtId="164" fontId="2" fillId="6" borderId="56" xfId="1" applyNumberFormat="1" applyFont="1" applyFill="1" applyBorder="1" applyAlignment="1">
      <alignment horizontal="right" wrapText="1"/>
    </xf>
    <xf numFmtId="164" fontId="2" fillId="6" borderId="61" xfId="1" applyNumberFormat="1" applyFont="1" applyFill="1" applyBorder="1" applyAlignment="1">
      <alignment horizontal="right" wrapText="1"/>
    </xf>
    <xf numFmtId="164" fontId="4" fillId="6" borderId="68" xfId="1" applyNumberFormat="1" applyFont="1" applyFill="1" applyBorder="1" applyAlignment="1">
      <alignment horizontal="right" wrapText="1"/>
    </xf>
    <xf numFmtId="165" fontId="11" fillId="6" borderId="57" xfId="0" applyNumberFormat="1" applyFont="1" applyFill="1" applyBorder="1" applyAlignment="1">
      <alignment horizontal="right" wrapText="1"/>
    </xf>
    <xf numFmtId="165" fontId="11" fillId="6" borderId="59" xfId="0" applyNumberFormat="1" applyFont="1" applyFill="1" applyBorder="1" applyAlignment="1">
      <alignment horizontal="right" wrapText="1"/>
    </xf>
    <xf numFmtId="0" fontId="13" fillId="0" borderId="16" xfId="0" applyFont="1" applyBorder="1" applyAlignment="1">
      <alignment horizontal="right" wrapText="1"/>
    </xf>
    <xf numFmtId="0" fontId="4" fillId="0" borderId="20" xfId="0" applyFont="1" applyBorder="1" applyAlignment="1">
      <alignment horizontal="left" wrapText="1"/>
    </xf>
    <xf numFmtId="164" fontId="4" fillId="0" borderId="20" xfId="1" applyNumberFormat="1" applyFont="1" applyBorder="1" applyAlignment="1">
      <alignment horizontal="right" wrapText="1"/>
    </xf>
    <xf numFmtId="164" fontId="4" fillId="0" borderId="20" xfId="1" applyNumberFormat="1" applyFont="1" applyBorder="1" applyAlignment="1">
      <alignment wrapText="1"/>
    </xf>
    <xf numFmtId="164" fontId="4" fillId="2" borderId="20" xfId="1" applyNumberFormat="1" applyFont="1" applyFill="1" applyBorder="1" applyAlignment="1">
      <alignment horizontal="right" wrapText="1"/>
    </xf>
    <xf numFmtId="1" fontId="4" fillId="0" borderId="20" xfId="1" applyNumberFormat="1" applyFont="1" applyBorder="1" applyAlignment="1">
      <alignment horizontal="right" wrapText="1"/>
    </xf>
    <xf numFmtId="164" fontId="2" fillId="0" borderId="20" xfId="1" applyNumberFormat="1" applyFont="1" applyBorder="1" applyAlignment="1">
      <alignment horizontal="right" wrapText="1"/>
    </xf>
    <xf numFmtId="164" fontId="2" fillId="0" borderId="21" xfId="1" applyNumberFormat="1" applyFont="1" applyBorder="1" applyAlignment="1">
      <alignment horizontal="right" wrapText="1"/>
    </xf>
    <xf numFmtId="165" fontId="11" fillId="0" borderId="22" xfId="0" applyNumberFormat="1" applyFont="1" applyBorder="1" applyAlignment="1">
      <alignment horizontal="right" wrapText="1"/>
    </xf>
    <xf numFmtId="165" fontId="11" fillId="0" borderId="17" xfId="0" applyNumberFormat="1" applyFont="1" applyBorder="1" applyAlignment="1">
      <alignment horizontal="right" wrapText="1"/>
    </xf>
    <xf numFmtId="0" fontId="13" fillId="4" borderId="50" xfId="0" applyFont="1" applyFill="1" applyBorder="1" applyAlignment="1">
      <alignment horizontal="right" wrapText="1"/>
    </xf>
    <xf numFmtId="0" fontId="4" fillId="4" borderId="51" xfId="0" applyFont="1" applyFill="1" applyBorder="1" applyAlignment="1">
      <alignment horizontal="left" wrapText="1"/>
    </xf>
    <xf numFmtId="164" fontId="4" fillId="4" borderId="51" xfId="1" applyNumberFormat="1" applyFont="1" applyFill="1" applyBorder="1" applyAlignment="1">
      <alignment wrapText="1"/>
    </xf>
    <xf numFmtId="164" fontId="4" fillId="4" borderId="51" xfId="1" applyNumberFormat="1" applyFont="1" applyFill="1" applyBorder="1" applyAlignment="1">
      <alignment horizontal="right" wrapText="1"/>
    </xf>
    <xf numFmtId="1" fontId="2" fillId="4" borderId="56" xfId="1" applyNumberFormat="1" applyFont="1" applyFill="1" applyBorder="1" applyAlignment="1">
      <alignment horizontal="right" wrapText="1"/>
    </xf>
    <xf numFmtId="164" fontId="2" fillId="4" borderId="57" xfId="1" applyNumberFormat="1" applyFont="1" applyFill="1" applyBorder="1" applyAlignment="1">
      <alignment horizontal="right" wrapText="1"/>
    </xf>
    <xf numFmtId="164" fontId="2" fillId="4" borderId="58" xfId="1" applyNumberFormat="1" applyFont="1" applyFill="1" applyBorder="1" applyAlignment="1">
      <alignment horizontal="right" wrapText="1"/>
    </xf>
    <xf numFmtId="164" fontId="2" fillId="4" borderId="56" xfId="1" applyNumberFormat="1" applyFont="1" applyFill="1" applyBorder="1" applyAlignment="1">
      <alignment horizontal="right" wrapText="1"/>
    </xf>
    <xf numFmtId="164" fontId="2" fillId="4" borderId="61" xfId="1" applyNumberFormat="1" applyFont="1" applyFill="1" applyBorder="1" applyAlignment="1">
      <alignment horizontal="right" wrapText="1"/>
    </xf>
    <xf numFmtId="164" fontId="4" fillId="4" borderId="68" xfId="1" applyNumberFormat="1" applyFont="1" applyFill="1" applyBorder="1" applyAlignment="1">
      <alignment horizontal="right" wrapText="1"/>
    </xf>
    <xf numFmtId="165" fontId="11" fillId="4" borderId="57" xfId="0" applyNumberFormat="1" applyFont="1" applyFill="1" applyBorder="1" applyAlignment="1">
      <alignment horizontal="right" wrapText="1"/>
    </xf>
    <xf numFmtId="165" fontId="11" fillId="4" borderId="59" xfId="0" applyNumberFormat="1" applyFont="1" applyFill="1" applyBorder="1" applyAlignment="1">
      <alignment horizontal="right" wrapText="1"/>
    </xf>
    <xf numFmtId="0" fontId="13" fillId="0" borderId="69" xfId="0" applyFont="1" applyBorder="1" applyAlignment="1">
      <alignment horizontal="right" wrapText="1"/>
    </xf>
    <xf numFmtId="0" fontId="4" fillId="0" borderId="42" xfId="0" applyFont="1" applyBorder="1" applyAlignment="1">
      <alignment horizontal="left" wrapText="1"/>
    </xf>
    <xf numFmtId="164" fontId="4" fillId="0" borderId="42" xfId="1" applyNumberFormat="1" applyFont="1" applyBorder="1" applyAlignment="1">
      <alignment wrapText="1"/>
    </xf>
    <xf numFmtId="164" fontId="4" fillId="2" borderId="42" xfId="1" applyNumberFormat="1" applyFont="1" applyFill="1" applyBorder="1" applyAlignment="1">
      <alignment horizontal="right" wrapText="1"/>
    </xf>
    <xf numFmtId="1" fontId="4" fillId="0" borderId="42" xfId="1" applyNumberFormat="1" applyFont="1" applyBorder="1" applyAlignment="1">
      <alignment horizontal="right" wrapText="1"/>
    </xf>
    <xf numFmtId="164" fontId="2" fillId="0" borderId="42" xfId="1" applyNumberFormat="1" applyFont="1" applyBorder="1" applyAlignment="1">
      <alignment horizontal="right" wrapText="1"/>
    </xf>
    <xf numFmtId="164" fontId="2" fillId="0" borderId="43" xfId="1" applyNumberFormat="1" applyFont="1" applyBorder="1" applyAlignment="1">
      <alignment horizontal="right" wrapText="1"/>
    </xf>
    <xf numFmtId="165" fontId="11" fillId="0" borderId="40" xfId="0" applyNumberFormat="1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1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44" fontId="14" fillId="0" borderId="0" xfId="0" applyNumberFormat="1" applyFont="1" applyAlignment="1">
      <alignment horizontal="right" wrapText="1"/>
    </xf>
    <xf numFmtId="2" fontId="14" fillId="0" borderId="0" xfId="1" applyNumberFormat="1" applyFont="1" applyAlignment="1">
      <alignment horizontal="right" wrapText="1"/>
    </xf>
    <xf numFmtId="2" fontId="14" fillId="0" borderId="0" xfId="1" applyNumberFormat="1" applyFont="1" applyAlignment="1">
      <alignment wrapText="1"/>
    </xf>
    <xf numFmtId="0" fontId="14" fillId="0" borderId="0" xfId="0" applyFont="1" applyAlignment="1">
      <alignment horizontal="right" wrapText="1"/>
    </xf>
    <xf numFmtId="44" fontId="14" fillId="2" borderId="0" xfId="0" applyNumberFormat="1" applyFont="1" applyFill="1" applyAlignment="1">
      <alignment horizontal="right" wrapText="1"/>
    </xf>
    <xf numFmtId="1" fontId="17" fillId="0" borderId="0" xfId="0" applyNumberFormat="1" applyFont="1" applyAlignment="1">
      <alignment horizontal="right" wrapText="1"/>
    </xf>
    <xf numFmtId="164" fontId="14" fillId="0" borderId="0" xfId="1" applyNumberFormat="1" applyFont="1" applyAlignment="1">
      <alignment horizontal="right" wrapText="1"/>
    </xf>
    <xf numFmtId="44" fontId="11" fillId="0" borderId="0" xfId="0" applyNumberFormat="1" applyFont="1" applyAlignment="1">
      <alignment horizontal="right" wrapText="1"/>
    </xf>
    <xf numFmtId="0" fontId="18" fillId="0" borderId="0" xfId="0" applyFont="1"/>
    <xf numFmtId="0" fontId="11" fillId="0" borderId="0" xfId="0" applyFont="1" applyAlignment="1">
      <alignment horizontal="center"/>
    </xf>
    <xf numFmtId="164" fontId="11" fillId="0" borderId="0" xfId="1" applyNumberFormat="1" applyFont="1"/>
    <xf numFmtId="1" fontId="18" fillId="0" borderId="0" xfId="1" applyNumberFormat="1" applyFont="1"/>
    <xf numFmtId="43" fontId="11" fillId="0" borderId="0" xfId="1" applyFont="1"/>
    <xf numFmtId="0" fontId="3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164" fontId="20" fillId="0" borderId="0" xfId="1" applyNumberFormat="1" applyFont="1" applyAlignment="1">
      <alignment horizontal="center"/>
    </xf>
    <xf numFmtId="43" fontId="20" fillId="0" borderId="0" xfId="0" applyNumberFormat="1" applyFont="1" applyAlignment="1">
      <alignment horizontal="center"/>
    </xf>
    <xf numFmtId="44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164" fontId="20" fillId="0" borderId="0" xfId="0" applyNumberFormat="1" applyFont="1" applyAlignment="1">
      <alignment horizontal="center"/>
    </xf>
    <xf numFmtId="166" fontId="14" fillId="0" borderId="0" xfId="1" applyNumberFormat="1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/>
    <xf numFmtId="43" fontId="20" fillId="0" borderId="0" xfId="1" applyFont="1"/>
    <xf numFmtId="43" fontId="20" fillId="0" borderId="0" xfId="0" applyNumberFormat="1" applyFont="1"/>
    <xf numFmtId="0" fontId="22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43" fontId="22" fillId="0" borderId="0" xfId="1" applyFont="1"/>
    <xf numFmtId="43" fontId="24" fillId="0" borderId="0" xfId="1" applyFont="1" applyAlignment="1">
      <alignment horizontal="center"/>
    </xf>
    <xf numFmtId="0" fontId="22" fillId="0" borderId="0" xfId="0" applyFont="1" applyAlignment="1">
      <alignment horizontal="center"/>
    </xf>
    <xf numFmtId="43" fontId="22" fillId="0" borderId="0" xfId="0" applyNumberFormat="1" applyFont="1"/>
    <xf numFmtId="0" fontId="21" fillId="0" borderId="0" xfId="0" applyFont="1" applyAlignment="1">
      <alignment wrapText="1"/>
    </xf>
    <xf numFmtId="0" fontId="20" fillId="2" borderId="0" xfId="0" applyFont="1" applyFill="1"/>
    <xf numFmtId="1" fontId="21" fillId="0" borderId="0" xfId="0" applyNumberFormat="1" applyFont="1"/>
    <xf numFmtId="164" fontId="20" fillId="0" borderId="0" xfId="1" applyNumberFormat="1" applyFont="1"/>
    <xf numFmtId="0" fontId="3" fillId="2" borderId="0" xfId="0" applyFont="1" applyFill="1"/>
    <xf numFmtId="164" fontId="3" fillId="0" borderId="0" xfId="1" applyNumberFormat="1" applyFont="1"/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A8AD4-8B4D-469E-B214-9CDDEBAF16A2}">
  <dimension ref="A1:AC267"/>
  <sheetViews>
    <sheetView tabSelected="1" view="pageBreakPreview" topLeftCell="B241" zoomScale="85" zoomScaleNormal="40" zoomScaleSheetLayoutView="85" zoomScalePageLayoutView="25" workbookViewId="0">
      <selection activeCell="J263" sqref="J263:M263"/>
    </sheetView>
  </sheetViews>
  <sheetFormatPr baseColWidth="10" defaultColWidth="16.85546875" defaultRowHeight="15" x14ac:dyDescent="0.25"/>
  <cols>
    <col min="1" max="1" width="28" style="4" customWidth="1"/>
    <col min="2" max="2" width="15.5703125" style="433" customWidth="1"/>
    <col min="3" max="3" width="48.5703125" style="456" customWidth="1"/>
    <col min="4" max="4" width="5.140625" style="4" customWidth="1"/>
    <col min="5" max="5" width="16.85546875" style="4" customWidth="1"/>
    <col min="6" max="6" width="15" style="4" customWidth="1"/>
    <col min="7" max="7" width="14.5703125" style="4" customWidth="1"/>
    <col min="8" max="9" width="16.85546875" style="4" hidden="1" customWidth="1"/>
    <col min="10" max="10" width="13.28515625" style="4" customWidth="1"/>
    <col min="11" max="11" width="16.85546875" style="460" customWidth="1"/>
    <col min="12" max="12" width="9.7109375" style="458" customWidth="1"/>
    <col min="13" max="13" width="14.7109375" style="461" customWidth="1"/>
    <col min="14" max="14" width="15.7109375" style="4" customWidth="1"/>
    <col min="15" max="15" width="15.42578125" style="4" customWidth="1"/>
    <col min="16" max="16" width="15.28515625" style="4" customWidth="1"/>
    <col min="17" max="17" width="15.140625" style="4" customWidth="1"/>
    <col min="18" max="18" width="15.28515625" style="4" customWidth="1"/>
    <col min="19" max="19" width="12.7109375" style="4" customWidth="1"/>
    <col min="20" max="20" width="15.28515625" style="4" customWidth="1"/>
    <col min="21" max="21" width="15.7109375" style="4" customWidth="1"/>
    <col min="22" max="22" width="14.42578125" style="4" customWidth="1"/>
    <col min="23" max="23" width="16" style="4" customWidth="1"/>
    <col min="24" max="24" width="15.28515625" style="4" customWidth="1"/>
    <col min="25" max="25" width="15.42578125" style="4" customWidth="1"/>
    <col min="26" max="26" width="14.28515625" style="4" customWidth="1"/>
    <col min="27" max="27" width="14.5703125" style="4" customWidth="1"/>
    <col min="28" max="256" width="16.85546875" style="4"/>
    <col min="257" max="257" width="28" style="4" customWidth="1"/>
    <col min="258" max="258" width="15.5703125" style="4" customWidth="1"/>
    <col min="259" max="259" width="48.5703125" style="4" customWidth="1"/>
    <col min="260" max="260" width="5.140625" style="4" customWidth="1"/>
    <col min="261" max="261" width="16.85546875" style="4"/>
    <col min="262" max="262" width="15" style="4" customWidth="1"/>
    <col min="263" max="263" width="14.5703125" style="4" customWidth="1"/>
    <col min="264" max="265" width="0" style="4" hidden="1" customWidth="1"/>
    <col min="266" max="266" width="13.28515625" style="4" customWidth="1"/>
    <col min="267" max="267" width="16.85546875" style="4"/>
    <col min="268" max="268" width="9.7109375" style="4" customWidth="1"/>
    <col min="269" max="269" width="14.7109375" style="4" customWidth="1"/>
    <col min="270" max="270" width="15.7109375" style="4" customWidth="1"/>
    <col min="271" max="271" width="15.42578125" style="4" customWidth="1"/>
    <col min="272" max="272" width="15.28515625" style="4" customWidth="1"/>
    <col min="273" max="273" width="15.140625" style="4" customWidth="1"/>
    <col min="274" max="274" width="15.28515625" style="4" customWidth="1"/>
    <col min="275" max="275" width="12.7109375" style="4" customWidth="1"/>
    <col min="276" max="276" width="15.28515625" style="4" customWidth="1"/>
    <col min="277" max="277" width="15.7109375" style="4" customWidth="1"/>
    <col min="278" max="278" width="14.42578125" style="4" customWidth="1"/>
    <col min="279" max="279" width="16" style="4" customWidth="1"/>
    <col min="280" max="280" width="15.28515625" style="4" customWidth="1"/>
    <col min="281" max="281" width="15.42578125" style="4" customWidth="1"/>
    <col min="282" max="282" width="14.28515625" style="4" customWidth="1"/>
    <col min="283" max="283" width="14.5703125" style="4" customWidth="1"/>
    <col min="284" max="512" width="16.85546875" style="4"/>
    <col min="513" max="513" width="28" style="4" customWidth="1"/>
    <col min="514" max="514" width="15.5703125" style="4" customWidth="1"/>
    <col min="515" max="515" width="48.5703125" style="4" customWidth="1"/>
    <col min="516" max="516" width="5.140625" style="4" customWidth="1"/>
    <col min="517" max="517" width="16.85546875" style="4"/>
    <col min="518" max="518" width="15" style="4" customWidth="1"/>
    <col min="519" max="519" width="14.5703125" style="4" customWidth="1"/>
    <col min="520" max="521" width="0" style="4" hidden="1" customWidth="1"/>
    <col min="522" max="522" width="13.28515625" style="4" customWidth="1"/>
    <col min="523" max="523" width="16.85546875" style="4"/>
    <col min="524" max="524" width="9.7109375" style="4" customWidth="1"/>
    <col min="525" max="525" width="14.7109375" style="4" customWidth="1"/>
    <col min="526" max="526" width="15.7109375" style="4" customWidth="1"/>
    <col min="527" max="527" width="15.42578125" style="4" customWidth="1"/>
    <col min="528" max="528" width="15.28515625" style="4" customWidth="1"/>
    <col min="529" max="529" width="15.140625" style="4" customWidth="1"/>
    <col min="530" max="530" width="15.28515625" style="4" customWidth="1"/>
    <col min="531" max="531" width="12.7109375" style="4" customWidth="1"/>
    <col min="532" max="532" width="15.28515625" style="4" customWidth="1"/>
    <col min="533" max="533" width="15.7109375" style="4" customWidth="1"/>
    <col min="534" max="534" width="14.42578125" style="4" customWidth="1"/>
    <col min="535" max="535" width="16" style="4" customWidth="1"/>
    <col min="536" max="536" width="15.28515625" style="4" customWidth="1"/>
    <col min="537" max="537" width="15.42578125" style="4" customWidth="1"/>
    <col min="538" max="538" width="14.28515625" style="4" customWidth="1"/>
    <col min="539" max="539" width="14.5703125" style="4" customWidth="1"/>
    <col min="540" max="768" width="16.85546875" style="4"/>
    <col min="769" max="769" width="28" style="4" customWidth="1"/>
    <col min="770" max="770" width="15.5703125" style="4" customWidth="1"/>
    <col min="771" max="771" width="48.5703125" style="4" customWidth="1"/>
    <col min="772" max="772" width="5.140625" style="4" customWidth="1"/>
    <col min="773" max="773" width="16.85546875" style="4"/>
    <col min="774" max="774" width="15" style="4" customWidth="1"/>
    <col min="775" max="775" width="14.5703125" style="4" customWidth="1"/>
    <col min="776" max="777" width="0" style="4" hidden="1" customWidth="1"/>
    <col min="778" max="778" width="13.28515625" style="4" customWidth="1"/>
    <col min="779" max="779" width="16.85546875" style="4"/>
    <col min="780" max="780" width="9.7109375" style="4" customWidth="1"/>
    <col min="781" max="781" width="14.7109375" style="4" customWidth="1"/>
    <col min="782" max="782" width="15.7109375" style="4" customWidth="1"/>
    <col min="783" max="783" width="15.42578125" style="4" customWidth="1"/>
    <col min="784" max="784" width="15.28515625" style="4" customWidth="1"/>
    <col min="785" max="785" width="15.140625" style="4" customWidth="1"/>
    <col min="786" max="786" width="15.28515625" style="4" customWidth="1"/>
    <col min="787" max="787" width="12.7109375" style="4" customWidth="1"/>
    <col min="788" max="788" width="15.28515625" style="4" customWidth="1"/>
    <col min="789" max="789" width="15.7109375" style="4" customWidth="1"/>
    <col min="790" max="790" width="14.42578125" style="4" customWidth="1"/>
    <col min="791" max="791" width="16" style="4" customWidth="1"/>
    <col min="792" max="792" width="15.28515625" style="4" customWidth="1"/>
    <col min="793" max="793" width="15.42578125" style="4" customWidth="1"/>
    <col min="794" max="794" width="14.28515625" style="4" customWidth="1"/>
    <col min="795" max="795" width="14.5703125" style="4" customWidth="1"/>
    <col min="796" max="1024" width="16.85546875" style="4"/>
    <col min="1025" max="1025" width="28" style="4" customWidth="1"/>
    <col min="1026" max="1026" width="15.5703125" style="4" customWidth="1"/>
    <col min="1027" max="1027" width="48.5703125" style="4" customWidth="1"/>
    <col min="1028" max="1028" width="5.140625" style="4" customWidth="1"/>
    <col min="1029" max="1029" width="16.85546875" style="4"/>
    <col min="1030" max="1030" width="15" style="4" customWidth="1"/>
    <col min="1031" max="1031" width="14.5703125" style="4" customWidth="1"/>
    <col min="1032" max="1033" width="0" style="4" hidden="1" customWidth="1"/>
    <col min="1034" max="1034" width="13.28515625" style="4" customWidth="1"/>
    <col min="1035" max="1035" width="16.85546875" style="4"/>
    <col min="1036" max="1036" width="9.7109375" style="4" customWidth="1"/>
    <col min="1037" max="1037" width="14.7109375" style="4" customWidth="1"/>
    <col min="1038" max="1038" width="15.7109375" style="4" customWidth="1"/>
    <col min="1039" max="1039" width="15.42578125" style="4" customWidth="1"/>
    <col min="1040" max="1040" width="15.28515625" style="4" customWidth="1"/>
    <col min="1041" max="1041" width="15.140625" style="4" customWidth="1"/>
    <col min="1042" max="1042" width="15.28515625" style="4" customWidth="1"/>
    <col min="1043" max="1043" width="12.7109375" style="4" customWidth="1"/>
    <col min="1044" max="1044" width="15.28515625" style="4" customWidth="1"/>
    <col min="1045" max="1045" width="15.7109375" style="4" customWidth="1"/>
    <col min="1046" max="1046" width="14.42578125" style="4" customWidth="1"/>
    <col min="1047" max="1047" width="16" style="4" customWidth="1"/>
    <col min="1048" max="1048" width="15.28515625" style="4" customWidth="1"/>
    <col min="1049" max="1049" width="15.42578125" style="4" customWidth="1"/>
    <col min="1050" max="1050" width="14.28515625" style="4" customWidth="1"/>
    <col min="1051" max="1051" width="14.5703125" style="4" customWidth="1"/>
    <col min="1052" max="1280" width="16.85546875" style="4"/>
    <col min="1281" max="1281" width="28" style="4" customWidth="1"/>
    <col min="1282" max="1282" width="15.5703125" style="4" customWidth="1"/>
    <col min="1283" max="1283" width="48.5703125" style="4" customWidth="1"/>
    <col min="1284" max="1284" width="5.140625" style="4" customWidth="1"/>
    <col min="1285" max="1285" width="16.85546875" style="4"/>
    <col min="1286" max="1286" width="15" style="4" customWidth="1"/>
    <col min="1287" max="1287" width="14.5703125" style="4" customWidth="1"/>
    <col min="1288" max="1289" width="0" style="4" hidden="1" customWidth="1"/>
    <col min="1290" max="1290" width="13.28515625" style="4" customWidth="1"/>
    <col min="1291" max="1291" width="16.85546875" style="4"/>
    <col min="1292" max="1292" width="9.7109375" style="4" customWidth="1"/>
    <col min="1293" max="1293" width="14.7109375" style="4" customWidth="1"/>
    <col min="1294" max="1294" width="15.7109375" style="4" customWidth="1"/>
    <col min="1295" max="1295" width="15.42578125" style="4" customWidth="1"/>
    <col min="1296" max="1296" width="15.28515625" style="4" customWidth="1"/>
    <col min="1297" max="1297" width="15.140625" style="4" customWidth="1"/>
    <col min="1298" max="1298" width="15.28515625" style="4" customWidth="1"/>
    <col min="1299" max="1299" width="12.7109375" style="4" customWidth="1"/>
    <col min="1300" max="1300" width="15.28515625" style="4" customWidth="1"/>
    <col min="1301" max="1301" width="15.7109375" style="4" customWidth="1"/>
    <col min="1302" max="1302" width="14.42578125" style="4" customWidth="1"/>
    <col min="1303" max="1303" width="16" style="4" customWidth="1"/>
    <col min="1304" max="1304" width="15.28515625" style="4" customWidth="1"/>
    <col min="1305" max="1305" width="15.42578125" style="4" customWidth="1"/>
    <col min="1306" max="1306" width="14.28515625" style="4" customWidth="1"/>
    <col min="1307" max="1307" width="14.5703125" style="4" customWidth="1"/>
    <col min="1308" max="1536" width="16.85546875" style="4"/>
    <col min="1537" max="1537" width="28" style="4" customWidth="1"/>
    <col min="1538" max="1538" width="15.5703125" style="4" customWidth="1"/>
    <col min="1539" max="1539" width="48.5703125" style="4" customWidth="1"/>
    <col min="1540" max="1540" width="5.140625" style="4" customWidth="1"/>
    <col min="1541" max="1541" width="16.85546875" style="4"/>
    <col min="1542" max="1542" width="15" style="4" customWidth="1"/>
    <col min="1543" max="1543" width="14.5703125" style="4" customWidth="1"/>
    <col min="1544" max="1545" width="0" style="4" hidden="1" customWidth="1"/>
    <col min="1546" max="1546" width="13.28515625" style="4" customWidth="1"/>
    <col min="1547" max="1547" width="16.85546875" style="4"/>
    <col min="1548" max="1548" width="9.7109375" style="4" customWidth="1"/>
    <col min="1549" max="1549" width="14.7109375" style="4" customWidth="1"/>
    <col min="1550" max="1550" width="15.7109375" style="4" customWidth="1"/>
    <col min="1551" max="1551" width="15.42578125" style="4" customWidth="1"/>
    <col min="1552" max="1552" width="15.28515625" style="4" customWidth="1"/>
    <col min="1553" max="1553" width="15.140625" style="4" customWidth="1"/>
    <col min="1554" max="1554" width="15.28515625" style="4" customWidth="1"/>
    <col min="1555" max="1555" width="12.7109375" style="4" customWidth="1"/>
    <col min="1556" max="1556" width="15.28515625" style="4" customWidth="1"/>
    <col min="1557" max="1557" width="15.7109375" style="4" customWidth="1"/>
    <col min="1558" max="1558" width="14.42578125" style="4" customWidth="1"/>
    <col min="1559" max="1559" width="16" style="4" customWidth="1"/>
    <col min="1560" max="1560" width="15.28515625" style="4" customWidth="1"/>
    <col min="1561" max="1561" width="15.42578125" style="4" customWidth="1"/>
    <col min="1562" max="1562" width="14.28515625" style="4" customWidth="1"/>
    <col min="1563" max="1563" width="14.5703125" style="4" customWidth="1"/>
    <col min="1564" max="1792" width="16.85546875" style="4"/>
    <col min="1793" max="1793" width="28" style="4" customWidth="1"/>
    <col min="1794" max="1794" width="15.5703125" style="4" customWidth="1"/>
    <col min="1795" max="1795" width="48.5703125" style="4" customWidth="1"/>
    <col min="1796" max="1796" width="5.140625" style="4" customWidth="1"/>
    <col min="1797" max="1797" width="16.85546875" style="4"/>
    <col min="1798" max="1798" width="15" style="4" customWidth="1"/>
    <col min="1799" max="1799" width="14.5703125" style="4" customWidth="1"/>
    <col min="1800" max="1801" width="0" style="4" hidden="1" customWidth="1"/>
    <col min="1802" max="1802" width="13.28515625" style="4" customWidth="1"/>
    <col min="1803" max="1803" width="16.85546875" style="4"/>
    <col min="1804" max="1804" width="9.7109375" style="4" customWidth="1"/>
    <col min="1805" max="1805" width="14.7109375" style="4" customWidth="1"/>
    <col min="1806" max="1806" width="15.7109375" style="4" customWidth="1"/>
    <col min="1807" max="1807" width="15.42578125" style="4" customWidth="1"/>
    <col min="1808" max="1808" width="15.28515625" style="4" customWidth="1"/>
    <col min="1809" max="1809" width="15.140625" style="4" customWidth="1"/>
    <col min="1810" max="1810" width="15.28515625" style="4" customWidth="1"/>
    <col min="1811" max="1811" width="12.7109375" style="4" customWidth="1"/>
    <col min="1812" max="1812" width="15.28515625" style="4" customWidth="1"/>
    <col min="1813" max="1813" width="15.7109375" style="4" customWidth="1"/>
    <col min="1814" max="1814" width="14.42578125" style="4" customWidth="1"/>
    <col min="1815" max="1815" width="16" style="4" customWidth="1"/>
    <col min="1816" max="1816" width="15.28515625" style="4" customWidth="1"/>
    <col min="1817" max="1817" width="15.42578125" style="4" customWidth="1"/>
    <col min="1818" max="1818" width="14.28515625" style="4" customWidth="1"/>
    <col min="1819" max="1819" width="14.5703125" style="4" customWidth="1"/>
    <col min="1820" max="2048" width="16.85546875" style="4"/>
    <col min="2049" max="2049" width="28" style="4" customWidth="1"/>
    <col min="2050" max="2050" width="15.5703125" style="4" customWidth="1"/>
    <col min="2051" max="2051" width="48.5703125" style="4" customWidth="1"/>
    <col min="2052" max="2052" width="5.140625" style="4" customWidth="1"/>
    <col min="2053" max="2053" width="16.85546875" style="4"/>
    <col min="2054" max="2054" width="15" style="4" customWidth="1"/>
    <col min="2055" max="2055" width="14.5703125" style="4" customWidth="1"/>
    <col min="2056" max="2057" width="0" style="4" hidden="1" customWidth="1"/>
    <col min="2058" max="2058" width="13.28515625" style="4" customWidth="1"/>
    <col min="2059" max="2059" width="16.85546875" style="4"/>
    <col min="2060" max="2060" width="9.7109375" style="4" customWidth="1"/>
    <col min="2061" max="2061" width="14.7109375" style="4" customWidth="1"/>
    <col min="2062" max="2062" width="15.7109375" style="4" customWidth="1"/>
    <col min="2063" max="2063" width="15.42578125" style="4" customWidth="1"/>
    <col min="2064" max="2064" width="15.28515625" style="4" customWidth="1"/>
    <col min="2065" max="2065" width="15.140625" style="4" customWidth="1"/>
    <col min="2066" max="2066" width="15.28515625" style="4" customWidth="1"/>
    <col min="2067" max="2067" width="12.7109375" style="4" customWidth="1"/>
    <col min="2068" max="2068" width="15.28515625" style="4" customWidth="1"/>
    <col min="2069" max="2069" width="15.7109375" style="4" customWidth="1"/>
    <col min="2070" max="2070" width="14.42578125" style="4" customWidth="1"/>
    <col min="2071" max="2071" width="16" style="4" customWidth="1"/>
    <col min="2072" max="2072" width="15.28515625" style="4" customWidth="1"/>
    <col min="2073" max="2073" width="15.42578125" style="4" customWidth="1"/>
    <col min="2074" max="2074" width="14.28515625" style="4" customWidth="1"/>
    <col min="2075" max="2075" width="14.5703125" style="4" customWidth="1"/>
    <col min="2076" max="2304" width="16.85546875" style="4"/>
    <col min="2305" max="2305" width="28" style="4" customWidth="1"/>
    <col min="2306" max="2306" width="15.5703125" style="4" customWidth="1"/>
    <col min="2307" max="2307" width="48.5703125" style="4" customWidth="1"/>
    <col min="2308" max="2308" width="5.140625" style="4" customWidth="1"/>
    <col min="2309" max="2309" width="16.85546875" style="4"/>
    <col min="2310" max="2310" width="15" style="4" customWidth="1"/>
    <col min="2311" max="2311" width="14.5703125" style="4" customWidth="1"/>
    <col min="2312" max="2313" width="0" style="4" hidden="1" customWidth="1"/>
    <col min="2314" max="2314" width="13.28515625" style="4" customWidth="1"/>
    <col min="2315" max="2315" width="16.85546875" style="4"/>
    <col min="2316" max="2316" width="9.7109375" style="4" customWidth="1"/>
    <col min="2317" max="2317" width="14.7109375" style="4" customWidth="1"/>
    <col min="2318" max="2318" width="15.7109375" style="4" customWidth="1"/>
    <col min="2319" max="2319" width="15.42578125" style="4" customWidth="1"/>
    <col min="2320" max="2320" width="15.28515625" style="4" customWidth="1"/>
    <col min="2321" max="2321" width="15.140625" style="4" customWidth="1"/>
    <col min="2322" max="2322" width="15.28515625" style="4" customWidth="1"/>
    <col min="2323" max="2323" width="12.7109375" style="4" customWidth="1"/>
    <col min="2324" max="2324" width="15.28515625" style="4" customWidth="1"/>
    <col min="2325" max="2325" width="15.7109375" style="4" customWidth="1"/>
    <col min="2326" max="2326" width="14.42578125" style="4" customWidth="1"/>
    <col min="2327" max="2327" width="16" style="4" customWidth="1"/>
    <col min="2328" max="2328" width="15.28515625" style="4" customWidth="1"/>
    <col min="2329" max="2329" width="15.42578125" style="4" customWidth="1"/>
    <col min="2330" max="2330" width="14.28515625" style="4" customWidth="1"/>
    <col min="2331" max="2331" width="14.5703125" style="4" customWidth="1"/>
    <col min="2332" max="2560" width="16.85546875" style="4"/>
    <col min="2561" max="2561" width="28" style="4" customWidth="1"/>
    <col min="2562" max="2562" width="15.5703125" style="4" customWidth="1"/>
    <col min="2563" max="2563" width="48.5703125" style="4" customWidth="1"/>
    <col min="2564" max="2564" width="5.140625" style="4" customWidth="1"/>
    <col min="2565" max="2565" width="16.85546875" style="4"/>
    <col min="2566" max="2566" width="15" style="4" customWidth="1"/>
    <col min="2567" max="2567" width="14.5703125" style="4" customWidth="1"/>
    <col min="2568" max="2569" width="0" style="4" hidden="1" customWidth="1"/>
    <col min="2570" max="2570" width="13.28515625" style="4" customWidth="1"/>
    <col min="2571" max="2571" width="16.85546875" style="4"/>
    <col min="2572" max="2572" width="9.7109375" style="4" customWidth="1"/>
    <col min="2573" max="2573" width="14.7109375" style="4" customWidth="1"/>
    <col min="2574" max="2574" width="15.7109375" style="4" customWidth="1"/>
    <col min="2575" max="2575" width="15.42578125" style="4" customWidth="1"/>
    <col min="2576" max="2576" width="15.28515625" style="4" customWidth="1"/>
    <col min="2577" max="2577" width="15.140625" style="4" customWidth="1"/>
    <col min="2578" max="2578" width="15.28515625" style="4" customWidth="1"/>
    <col min="2579" max="2579" width="12.7109375" style="4" customWidth="1"/>
    <col min="2580" max="2580" width="15.28515625" style="4" customWidth="1"/>
    <col min="2581" max="2581" width="15.7109375" style="4" customWidth="1"/>
    <col min="2582" max="2582" width="14.42578125" style="4" customWidth="1"/>
    <col min="2583" max="2583" width="16" style="4" customWidth="1"/>
    <col min="2584" max="2584" width="15.28515625" style="4" customWidth="1"/>
    <col min="2585" max="2585" width="15.42578125" style="4" customWidth="1"/>
    <col min="2586" max="2586" width="14.28515625" style="4" customWidth="1"/>
    <col min="2587" max="2587" width="14.5703125" style="4" customWidth="1"/>
    <col min="2588" max="2816" width="16.85546875" style="4"/>
    <col min="2817" max="2817" width="28" style="4" customWidth="1"/>
    <col min="2818" max="2818" width="15.5703125" style="4" customWidth="1"/>
    <col min="2819" max="2819" width="48.5703125" style="4" customWidth="1"/>
    <col min="2820" max="2820" width="5.140625" style="4" customWidth="1"/>
    <col min="2821" max="2821" width="16.85546875" style="4"/>
    <col min="2822" max="2822" width="15" style="4" customWidth="1"/>
    <col min="2823" max="2823" width="14.5703125" style="4" customWidth="1"/>
    <col min="2824" max="2825" width="0" style="4" hidden="1" customWidth="1"/>
    <col min="2826" max="2826" width="13.28515625" style="4" customWidth="1"/>
    <col min="2827" max="2827" width="16.85546875" style="4"/>
    <col min="2828" max="2828" width="9.7109375" style="4" customWidth="1"/>
    <col min="2829" max="2829" width="14.7109375" style="4" customWidth="1"/>
    <col min="2830" max="2830" width="15.7109375" style="4" customWidth="1"/>
    <col min="2831" max="2831" width="15.42578125" style="4" customWidth="1"/>
    <col min="2832" max="2832" width="15.28515625" style="4" customWidth="1"/>
    <col min="2833" max="2833" width="15.140625" style="4" customWidth="1"/>
    <col min="2834" max="2834" width="15.28515625" style="4" customWidth="1"/>
    <col min="2835" max="2835" width="12.7109375" style="4" customWidth="1"/>
    <col min="2836" max="2836" width="15.28515625" style="4" customWidth="1"/>
    <col min="2837" max="2837" width="15.7109375" style="4" customWidth="1"/>
    <col min="2838" max="2838" width="14.42578125" style="4" customWidth="1"/>
    <col min="2839" max="2839" width="16" style="4" customWidth="1"/>
    <col min="2840" max="2840" width="15.28515625" style="4" customWidth="1"/>
    <col min="2841" max="2841" width="15.42578125" style="4" customWidth="1"/>
    <col min="2842" max="2842" width="14.28515625" style="4" customWidth="1"/>
    <col min="2843" max="2843" width="14.5703125" style="4" customWidth="1"/>
    <col min="2844" max="3072" width="16.85546875" style="4"/>
    <col min="3073" max="3073" width="28" style="4" customWidth="1"/>
    <col min="3074" max="3074" width="15.5703125" style="4" customWidth="1"/>
    <col min="3075" max="3075" width="48.5703125" style="4" customWidth="1"/>
    <col min="3076" max="3076" width="5.140625" style="4" customWidth="1"/>
    <col min="3077" max="3077" width="16.85546875" style="4"/>
    <col min="3078" max="3078" width="15" style="4" customWidth="1"/>
    <col min="3079" max="3079" width="14.5703125" style="4" customWidth="1"/>
    <col min="3080" max="3081" width="0" style="4" hidden="1" customWidth="1"/>
    <col min="3082" max="3082" width="13.28515625" style="4" customWidth="1"/>
    <col min="3083" max="3083" width="16.85546875" style="4"/>
    <col min="3084" max="3084" width="9.7109375" style="4" customWidth="1"/>
    <col min="3085" max="3085" width="14.7109375" style="4" customWidth="1"/>
    <col min="3086" max="3086" width="15.7109375" style="4" customWidth="1"/>
    <col min="3087" max="3087" width="15.42578125" style="4" customWidth="1"/>
    <col min="3088" max="3088" width="15.28515625" style="4" customWidth="1"/>
    <col min="3089" max="3089" width="15.140625" style="4" customWidth="1"/>
    <col min="3090" max="3090" width="15.28515625" style="4" customWidth="1"/>
    <col min="3091" max="3091" width="12.7109375" style="4" customWidth="1"/>
    <col min="3092" max="3092" width="15.28515625" style="4" customWidth="1"/>
    <col min="3093" max="3093" width="15.7109375" style="4" customWidth="1"/>
    <col min="3094" max="3094" width="14.42578125" style="4" customWidth="1"/>
    <col min="3095" max="3095" width="16" style="4" customWidth="1"/>
    <col min="3096" max="3096" width="15.28515625" style="4" customWidth="1"/>
    <col min="3097" max="3097" width="15.42578125" style="4" customWidth="1"/>
    <col min="3098" max="3098" width="14.28515625" style="4" customWidth="1"/>
    <col min="3099" max="3099" width="14.5703125" style="4" customWidth="1"/>
    <col min="3100" max="3328" width="16.85546875" style="4"/>
    <col min="3329" max="3329" width="28" style="4" customWidth="1"/>
    <col min="3330" max="3330" width="15.5703125" style="4" customWidth="1"/>
    <col min="3331" max="3331" width="48.5703125" style="4" customWidth="1"/>
    <col min="3332" max="3332" width="5.140625" style="4" customWidth="1"/>
    <col min="3333" max="3333" width="16.85546875" style="4"/>
    <col min="3334" max="3334" width="15" style="4" customWidth="1"/>
    <col min="3335" max="3335" width="14.5703125" style="4" customWidth="1"/>
    <col min="3336" max="3337" width="0" style="4" hidden="1" customWidth="1"/>
    <col min="3338" max="3338" width="13.28515625" style="4" customWidth="1"/>
    <col min="3339" max="3339" width="16.85546875" style="4"/>
    <col min="3340" max="3340" width="9.7109375" style="4" customWidth="1"/>
    <col min="3341" max="3341" width="14.7109375" style="4" customWidth="1"/>
    <col min="3342" max="3342" width="15.7109375" style="4" customWidth="1"/>
    <col min="3343" max="3343" width="15.42578125" style="4" customWidth="1"/>
    <col min="3344" max="3344" width="15.28515625" style="4" customWidth="1"/>
    <col min="3345" max="3345" width="15.140625" style="4" customWidth="1"/>
    <col min="3346" max="3346" width="15.28515625" style="4" customWidth="1"/>
    <col min="3347" max="3347" width="12.7109375" style="4" customWidth="1"/>
    <col min="3348" max="3348" width="15.28515625" style="4" customWidth="1"/>
    <col min="3349" max="3349" width="15.7109375" style="4" customWidth="1"/>
    <col min="3350" max="3350" width="14.42578125" style="4" customWidth="1"/>
    <col min="3351" max="3351" width="16" style="4" customWidth="1"/>
    <col min="3352" max="3352" width="15.28515625" style="4" customWidth="1"/>
    <col min="3353" max="3353" width="15.42578125" style="4" customWidth="1"/>
    <col min="3354" max="3354" width="14.28515625" style="4" customWidth="1"/>
    <col min="3355" max="3355" width="14.5703125" style="4" customWidth="1"/>
    <col min="3356" max="3584" width="16.85546875" style="4"/>
    <col min="3585" max="3585" width="28" style="4" customWidth="1"/>
    <col min="3586" max="3586" width="15.5703125" style="4" customWidth="1"/>
    <col min="3587" max="3587" width="48.5703125" style="4" customWidth="1"/>
    <col min="3588" max="3588" width="5.140625" style="4" customWidth="1"/>
    <col min="3589" max="3589" width="16.85546875" style="4"/>
    <col min="3590" max="3590" width="15" style="4" customWidth="1"/>
    <col min="3591" max="3591" width="14.5703125" style="4" customWidth="1"/>
    <col min="3592" max="3593" width="0" style="4" hidden="1" customWidth="1"/>
    <col min="3594" max="3594" width="13.28515625" style="4" customWidth="1"/>
    <col min="3595" max="3595" width="16.85546875" style="4"/>
    <col min="3596" max="3596" width="9.7109375" style="4" customWidth="1"/>
    <col min="3597" max="3597" width="14.7109375" style="4" customWidth="1"/>
    <col min="3598" max="3598" width="15.7109375" style="4" customWidth="1"/>
    <col min="3599" max="3599" width="15.42578125" style="4" customWidth="1"/>
    <col min="3600" max="3600" width="15.28515625" style="4" customWidth="1"/>
    <col min="3601" max="3601" width="15.140625" style="4" customWidth="1"/>
    <col min="3602" max="3602" width="15.28515625" style="4" customWidth="1"/>
    <col min="3603" max="3603" width="12.7109375" style="4" customWidth="1"/>
    <col min="3604" max="3604" width="15.28515625" style="4" customWidth="1"/>
    <col min="3605" max="3605" width="15.7109375" style="4" customWidth="1"/>
    <col min="3606" max="3606" width="14.42578125" style="4" customWidth="1"/>
    <col min="3607" max="3607" width="16" style="4" customWidth="1"/>
    <col min="3608" max="3608" width="15.28515625" style="4" customWidth="1"/>
    <col min="3609" max="3609" width="15.42578125" style="4" customWidth="1"/>
    <col min="3610" max="3610" width="14.28515625" style="4" customWidth="1"/>
    <col min="3611" max="3611" width="14.5703125" style="4" customWidth="1"/>
    <col min="3612" max="3840" width="16.85546875" style="4"/>
    <col min="3841" max="3841" width="28" style="4" customWidth="1"/>
    <col min="3842" max="3842" width="15.5703125" style="4" customWidth="1"/>
    <col min="3843" max="3843" width="48.5703125" style="4" customWidth="1"/>
    <col min="3844" max="3844" width="5.140625" style="4" customWidth="1"/>
    <col min="3845" max="3845" width="16.85546875" style="4"/>
    <col min="3846" max="3846" width="15" style="4" customWidth="1"/>
    <col min="3847" max="3847" width="14.5703125" style="4" customWidth="1"/>
    <col min="3848" max="3849" width="0" style="4" hidden="1" customWidth="1"/>
    <col min="3850" max="3850" width="13.28515625" style="4" customWidth="1"/>
    <col min="3851" max="3851" width="16.85546875" style="4"/>
    <col min="3852" max="3852" width="9.7109375" style="4" customWidth="1"/>
    <col min="3853" max="3853" width="14.7109375" style="4" customWidth="1"/>
    <col min="3854" max="3854" width="15.7109375" style="4" customWidth="1"/>
    <col min="3855" max="3855" width="15.42578125" style="4" customWidth="1"/>
    <col min="3856" max="3856" width="15.28515625" style="4" customWidth="1"/>
    <col min="3857" max="3857" width="15.140625" style="4" customWidth="1"/>
    <col min="3858" max="3858" width="15.28515625" style="4" customWidth="1"/>
    <col min="3859" max="3859" width="12.7109375" style="4" customWidth="1"/>
    <col min="3860" max="3860" width="15.28515625" style="4" customWidth="1"/>
    <col min="3861" max="3861" width="15.7109375" style="4" customWidth="1"/>
    <col min="3862" max="3862" width="14.42578125" style="4" customWidth="1"/>
    <col min="3863" max="3863" width="16" style="4" customWidth="1"/>
    <col min="3864" max="3864" width="15.28515625" style="4" customWidth="1"/>
    <col min="3865" max="3865" width="15.42578125" style="4" customWidth="1"/>
    <col min="3866" max="3866" width="14.28515625" style="4" customWidth="1"/>
    <col min="3867" max="3867" width="14.5703125" style="4" customWidth="1"/>
    <col min="3868" max="4096" width="16.85546875" style="4"/>
    <col min="4097" max="4097" width="28" style="4" customWidth="1"/>
    <col min="4098" max="4098" width="15.5703125" style="4" customWidth="1"/>
    <col min="4099" max="4099" width="48.5703125" style="4" customWidth="1"/>
    <col min="4100" max="4100" width="5.140625" style="4" customWidth="1"/>
    <col min="4101" max="4101" width="16.85546875" style="4"/>
    <col min="4102" max="4102" width="15" style="4" customWidth="1"/>
    <col min="4103" max="4103" width="14.5703125" style="4" customWidth="1"/>
    <col min="4104" max="4105" width="0" style="4" hidden="1" customWidth="1"/>
    <col min="4106" max="4106" width="13.28515625" style="4" customWidth="1"/>
    <col min="4107" max="4107" width="16.85546875" style="4"/>
    <col min="4108" max="4108" width="9.7109375" style="4" customWidth="1"/>
    <col min="4109" max="4109" width="14.7109375" style="4" customWidth="1"/>
    <col min="4110" max="4110" width="15.7109375" style="4" customWidth="1"/>
    <col min="4111" max="4111" width="15.42578125" style="4" customWidth="1"/>
    <col min="4112" max="4112" width="15.28515625" style="4" customWidth="1"/>
    <col min="4113" max="4113" width="15.140625" style="4" customWidth="1"/>
    <col min="4114" max="4114" width="15.28515625" style="4" customWidth="1"/>
    <col min="4115" max="4115" width="12.7109375" style="4" customWidth="1"/>
    <col min="4116" max="4116" width="15.28515625" style="4" customWidth="1"/>
    <col min="4117" max="4117" width="15.7109375" style="4" customWidth="1"/>
    <col min="4118" max="4118" width="14.42578125" style="4" customWidth="1"/>
    <col min="4119" max="4119" width="16" style="4" customWidth="1"/>
    <col min="4120" max="4120" width="15.28515625" style="4" customWidth="1"/>
    <col min="4121" max="4121" width="15.42578125" style="4" customWidth="1"/>
    <col min="4122" max="4122" width="14.28515625" style="4" customWidth="1"/>
    <col min="4123" max="4123" width="14.5703125" style="4" customWidth="1"/>
    <col min="4124" max="4352" width="16.85546875" style="4"/>
    <col min="4353" max="4353" width="28" style="4" customWidth="1"/>
    <col min="4354" max="4354" width="15.5703125" style="4" customWidth="1"/>
    <col min="4355" max="4355" width="48.5703125" style="4" customWidth="1"/>
    <col min="4356" max="4356" width="5.140625" style="4" customWidth="1"/>
    <col min="4357" max="4357" width="16.85546875" style="4"/>
    <col min="4358" max="4358" width="15" style="4" customWidth="1"/>
    <col min="4359" max="4359" width="14.5703125" style="4" customWidth="1"/>
    <col min="4360" max="4361" width="0" style="4" hidden="1" customWidth="1"/>
    <col min="4362" max="4362" width="13.28515625" style="4" customWidth="1"/>
    <col min="4363" max="4363" width="16.85546875" style="4"/>
    <col min="4364" max="4364" width="9.7109375" style="4" customWidth="1"/>
    <col min="4365" max="4365" width="14.7109375" style="4" customWidth="1"/>
    <col min="4366" max="4366" width="15.7109375" style="4" customWidth="1"/>
    <col min="4367" max="4367" width="15.42578125" style="4" customWidth="1"/>
    <col min="4368" max="4368" width="15.28515625" style="4" customWidth="1"/>
    <col min="4369" max="4369" width="15.140625" style="4" customWidth="1"/>
    <col min="4370" max="4370" width="15.28515625" style="4" customWidth="1"/>
    <col min="4371" max="4371" width="12.7109375" style="4" customWidth="1"/>
    <col min="4372" max="4372" width="15.28515625" style="4" customWidth="1"/>
    <col min="4373" max="4373" width="15.7109375" style="4" customWidth="1"/>
    <col min="4374" max="4374" width="14.42578125" style="4" customWidth="1"/>
    <col min="4375" max="4375" width="16" style="4" customWidth="1"/>
    <col min="4376" max="4376" width="15.28515625" style="4" customWidth="1"/>
    <col min="4377" max="4377" width="15.42578125" style="4" customWidth="1"/>
    <col min="4378" max="4378" width="14.28515625" style="4" customWidth="1"/>
    <col min="4379" max="4379" width="14.5703125" style="4" customWidth="1"/>
    <col min="4380" max="4608" width="16.85546875" style="4"/>
    <col min="4609" max="4609" width="28" style="4" customWidth="1"/>
    <col min="4610" max="4610" width="15.5703125" style="4" customWidth="1"/>
    <col min="4611" max="4611" width="48.5703125" style="4" customWidth="1"/>
    <col min="4612" max="4612" width="5.140625" style="4" customWidth="1"/>
    <col min="4613" max="4613" width="16.85546875" style="4"/>
    <col min="4614" max="4614" width="15" style="4" customWidth="1"/>
    <col min="4615" max="4615" width="14.5703125" style="4" customWidth="1"/>
    <col min="4616" max="4617" width="0" style="4" hidden="1" customWidth="1"/>
    <col min="4618" max="4618" width="13.28515625" style="4" customWidth="1"/>
    <col min="4619" max="4619" width="16.85546875" style="4"/>
    <col min="4620" max="4620" width="9.7109375" style="4" customWidth="1"/>
    <col min="4621" max="4621" width="14.7109375" style="4" customWidth="1"/>
    <col min="4622" max="4622" width="15.7109375" style="4" customWidth="1"/>
    <col min="4623" max="4623" width="15.42578125" style="4" customWidth="1"/>
    <col min="4624" max="4624" width="15.28515625" style="4" customWidth="1"/>
    <col min="4625" max="4625" width="15.140625" style="4" customWidth="1"/>
    <col min="4626" max="4626" width="15.28515625" style="4" customWidth="1"/>
    <col min="4627" max="4627" width="12.7109375" style="4" customWidth="1"/>
    <col min="4628" max="4628" width="15.28515625" style="4" customWidth="1"/>
    <col min="4629" max="4629" width="15.7109375" style="4" customWidth="1"/>
    <col min="4630" max="4630" width="14.42578125" style="4" customWidth="1"/>
    <col min="4631" max="4631" width="16" style="4" customWidth="1"/>
    <col min="4632" max="4632" width="15.28515625" style="4" customWidth="1"/>
    <col min="4633" max="4633" width="15.42578125" style="4" customWidth="1"/>
    <col min="4634" max="4634" width="14.28515625" style="4" customWidth="1"/>
    <col min="4635" max="4635" width="14.5703125" style="4" customWidth="1"/>
    <col min="4636" max="4864" width="16.85546875" style="4"/>
    <col min="4865" max="4865" width="28" style="4" customWidth="1"/>
    <col min="4866" max="4866" width="15.5703125" style="4" customWidth="1"/>
    <col min="4867" max="4867" width="48.5703125" style="4" customWidth="1"/>
    <col min="4868" max="4868" width="5.140625" style="4" customWidth="1"/>
    <col min="4869" max="4869" width="16.85546875" style="4"/>
    <col min="4870" max="4870" width="15" style="4" customWidth="1"/>
    <col min="4871" max="4871" width="14.5703125" style="4" customWidth="1"/>
    <col min="4872" max="4873" width="0" style="4" hidden="1" customWidth="1"/>
    <col min="4874" max="4874" width="13.28515625" style="4" customWidth="1"/>
    <col min="4875" max="4875" width="16.85546875" style="4"/>
    <col min="4876" max="4876" width="9.7109375" style="4" customWidth="1"/>
    <col min="4877" max="4877" width="14.7109375" style="4" customWidth="1"/>
    <col min="4878" max="4878" width="15.7109375" style="4" customWidth="1"/>
    <col min="4879" max="4879" width="15.42578125" style="4" customWidth="1"/>
    <col min="4880" max="4880" width="15.28515625" style="4" customWidth="1"/>
    <col min="4881" max="4881" width="15.140625" style="4" customWidth="1"/>
    <col min="4882" max="4882" width="15.28515625" style="4" customWidth="1"/>
    <col min="4883" max="4883" width="12.7109375" style="4" customWidth="1"/>
    <col min="4884" max="4884" width="15.28515625" style="4" customWidth="1"/>
    <col min="4885" max="4885" width="15.7109375" style="4" customWidth="1"/>
    <col min="4886" max="4886" width="14.42578125" style="4" customWidth="1"/>
    <col min="4887" max="4887" width="16" style="4" customWidth="1"/>
    <col min="4888" max="4888" width="15.28515625" style="4" customWidth="1"/>
    <col min="4889" max="4889" width="15.42578125" style="4" customWidth="1"/>
    <col min="4890" max="4890" width="14.28515625" style="4" customWidth="1"/>
    <col min="4891" max="4891" width="14.5703125" style="4" customWidth="1"/>
    <col min="4892" max="5120" width="16.85546875" style="4"/>
    <col min="5121" max="5121" width="28" style="4" customWidth="1"/>
    <col min="5122" max="5122" width="15.5703125" style="4" customWidth="1"/>
    <col min="5123" max="5123" width="48.5703125" style="4" customWidth="1"/>
    <col min="5124" max="5124" width="5.140625" style="4" customWidth="1"/>
    <col min="5125" max="5125" width="16.85546875" style="4"/>
    <col min="5126" max="5126" width="15" style="4" customWidth="1"/>
    <col min="5127" max="5127" width="14.5703125" style="4" customWidth="1"/>
    <col min="5128" max="5129" width="0" style="4" hidden="1" customWidth="1"/>
    <col min="5130" max="5130" width="13.28515625" style="4" customWidth="1"/>
    <col min="5131" max="5131" width="16.85546875" style="4"/>
    <col min="5132" max="5132" width="9.7109375" style="4" customWidth="1"/>
    <col min="5133" max="5133" width="14.7109375" style="4" customWidth="1"/>
    <col min="5134" max="5134" width="15.7109375" style="4" customWidth="1"/>
    <col min="5135" max="5135" width="15.42578125" style="4" customWidth="1"/>
    <col min="5136" max="5136" width="15.28515625" style="4" customWidth="1"/>
    <col min="5137" max="5137" width="15.140625" style="4" customWidth="1"/>
    <col min="5138" max="5138" width="15.28515625" style="4" customWidth="1"/>
    <col min="5139" max="5139" width="12.7109375" style="4" customWidth="1"/>
    <col min="5140" max="5140" width="15.28515625" style="4" customWidth="1"/>
    <col min="5141" max="5141" width="15.7109375" style="4" customWidth="1"/>
    <col min="5142" max="5142" width="14.42578125" style="4" customWidth="1"/>
    <col min="5143" max="5143" width="16" style="4" customWidth="1"/>
    <col min="5144" max="5144" width="15.28515625" style="4" customWidth="1"/>
    <col min="5145" max="5145" width="15.42578125" style="4" customWidth="1"/>
    <col min="5146" max="5146" width="14.28515625" style="4" customWidth="1"/>
    <col min="5147" max="5147" width="14.5703125" style="4" customWidth="1"/>
    <col min="5148" max="5376" width="16.85546875" style="4"/>
    <col min="5377" max="5377" width="28" style="4" customWidth="1"/>
    <col min="5378" max="5378" width="15.5703125" style="4" customWidth="1"/>
    <col min="5379" max="5379" width="48.5703125" style="4" customWidth="1"/>
    <col min="5380" max="5380" width="5.140625" style="4" customWidth="1"/>
    <col min="5381" max="5381" width="16.85546875" style="4"/>
    <col min="5382" max="5382" width="15" style="4" customWidth="1"/>
    <col min="5383" max="5383" width="14.5703125" style="4" customWidth="1"/>
    <col min="5384" max="5385" width="0" style="4" hidden="1" customWidth="1"/>
    <col min="5386" max="5386" width="13.28515625" style="4" customWidth="1"/>
    <col min="5387" max="5387" width="16.85546875" style="4"/>
    <col min="5388" max="5388" width="9.7109375" style="4" customWidth="1"/>
    <col min="5389" max="5389" width="14.7109375" style="4" customWidth="1"/>
    <col min="5390" max="5390" width="15.7109375" style="4" customWidth="1"/>
    <col min="5391" max="5391" width="15.42578125" style="4" customWidth="1"/>
    <col min="5392" max="5392" width="15.28515625" style="4" customWidth="1"/>
    <col min="5393" max="5393" width="15.140625" style="4" customWidth="1"/>
    <col min="5394" max="5394" width="15.28515625" style="4" customWidth="1"/>
    <col min="5395" max="5395" width="12.7109375" style="4" customWidth="1"/>
    <col min="5396" max="5396" width="15.28515625" style="4" customWidth="1"/>
    <col min="5397" max="5397" width="15.7109375" style="4" customWidth="1"/>
    <col min="5398" max="5398" width="14.42578125" style="4" customWidth="1"/>
    <col min="5399" max="5399" width="16" style="4" customWidth="1"/>
    <col min="5400" max="5400" width="15.28515625" style="4" customWidth="1"/>
    <col min="5401" max="5401" width="15.42578125" style="4" customWidth="1"/>
    <col min="5402" max="5402" width="14.28515625" style="4" customWidth="1"/>
    <col min="5403" max="5403" width="14.5703125" style="4" customWidth="1"/>
    <col min="5404" max="5632" width="16.85546875" style="4"/>
    <col min="5633" max="5633" width="28" style="4" customWidth="1"/>
    <col min="5634" max="5634" width="15.5703125" style="4" customWidth="1"/>
    <col min="5635" max="5635" width="48.5703125" style="4" customWidth="1"/>
    <col min="5636" max="5636" width="5.140625" style="4" customWidth="1"/>
    <col min="5637" max="5637" width="16.85546875" style="4"/>
    <col min="5638" max="5638" width="15" style="4" customWidth="1"/>
    <col min="5639" max="5639" width="14.5703125" style="4" customWidth="1"/>
    <col min="5640" max="5641" width="0" style="4" hidden="1" customWidth="1"/>
    <col min="5642" max="5642" width="13.28515625" style="4" customWidth="1"/>
    <col min="5643" max="5643" width="16.85546875" style="4"/>
    <col min="5644" max="5644" width="9.7109375" style="4" customWidth="1"/>
    <col min="5645" max="5645" width="14.7109375" style="4" customWidth="1"/>
    <col min="5646" max="5646" width="15.7109375" style="4" customWidth="1"/>
    <col min="5647" max="5647" width="15.42578125" style="4" customWidth="1"/>
    <col min="5648" max="5648" width="15.28515625" style="4" customWidth="1"/>
    <col min="5649" max="5649" width="15.140625" style="4" customWidth="1"/>
    <col min="5650" max="5650" width="15.28515625" style="4" customWidth="1"/>
    <col min="5651" max="5651" width="12.7109375" style="4" customWidth="1"/>
    <col min="5652" max="5652" width="15.28515625" style="4" customWidth="1"/>
    <col min="5653" max="5653" width="15.7109375" style="4" customWidth="1"/>
    <col min="5654" max="5654" width="14.42578125" style="4" customWidth="1"/>
    <col min="5655" max="5655" width="16" style="4" customWidth="1"/>
    <col min="5656" max="5656" width="15.28515625" style="4" customWidth="1"/>
    <col min="5657" max="5657" width="15.42578125" style="4" customWidth="1"/>
    <col min="5658" max="5658" width="14.28515625" style="4" customWidth="1"/>
    <col min="5659" max="5659" width="14.5703125" style="4" customWidth="1"/>
    <col min="5660" max="5888" width="16.85546875" style="4"/>
    <col min="5889" max="5889" width="28" style="4" customWidth="1"/>
    <col min="5890" max="5890" width="15.5703125" style="4" customWidth="1"/>
    <col min="5891" max="5891" width="48.5703125" style="4" customWidth="1"/>
    <col min="5892" max="5892" width="5.140625" style="4" customWidth="1"/>
    <col min="5893" max="5893" width="16.85546875" style="4"/>
    <col min="5894" max="5894" width="15" style="4" customWidth="1"/>
    <col min="5895" max="5895" width="14.5703125" style="4" customWidth="1"/>
    <col min="5896" max="5897" width="0" style="4" hidden="1" customWidth="1"/>
    <col min="5898" max="5898" width="13.28515625" style="4" customWidth="1"/>
    <col min="5899" max="5899" width="16.85546875" style="4"/>
    <col min="5900" max="5900" width="9.7109375" style="4" customWidth="1"/>
    <col min="5901" max="5901" width="14.7109375" style="4" customWidth="1"/>
    <col min="5902" max="5902" width="15.7109375" style="4" customWidth="1"/>
    <col min="5903" max="5903" width="15.42578125" style="4" customWidth="1"/>
    <col min="5904" max="5904" width="15.28515625" style="4" customWidth="1"/>
    <col min="5905" max="5905" width="15.140625" style="4" customWidth="1"/>
    <col min="5906" max="5906" width="15.28515625" style="4" customWidth="1"/>
    <col min="5907" max="5907" width="12.7109375" style="4" customWidth="1"/>
    <col min="5908" max="5908" width="15.28515625" style="4" customWidth="1"/>
    <col min="5909" max="5909" width="15.7109375" style="4" customWidth="1"/>
    <col min="5910" max="5910" width="14.42578125" style="4" customWidth="1"/>
    <col min="5911" max="5911" width="16" style="4" customWidth="1"/>
    <col min="5912" max="5912" width="15.28515625" style="4" customWidth="1"/>
    <col min="5913" max="5913" width="15.42578125" style="4" customWidth="1"/>
    <col min="5914" max="5914" width="14.28515625" style="4" customWidth="1"/>
    <col min="5915" max="5915" width="14.5703125" style="4" customWidth="1"/>
    <col min="5916" max="6144" width="16.85546875" style="4"/>
    <col min="6145" max="6145" width="28" style="4" customWidth="1"/>
    <col min="6146" max="6146" width="15.5703125" style="4" customWidth="1"/>
    <col min="6147" max="6147" width="48.5703125" style="4" customWidth="1"/>
    <col min="6148" max="6148" width="5.140625" style="4" customWidth="1"/>
    <col min="6149" max="6149" width="16.85546875" style="4"/>
    <col min="6150" max="6150" width="15" style="4" customWidth="1"/>
    <col min="6151" max="6151" width="14.5703125" style="4" customWidth="1"/>
    <col min="6152" max="6153" width="0" style="4" hidden="1" customWidth="1"/>
    <col min="6154" max="6154" width="13.28515625" style="4" customWidth="1"/>
    <col min="6155" max="6155" width="16.85546875" style="4"/>
    <col min="6156" max="6156" width="9.7109375" style="4" customWidth="1"/>
    <col min="6157" max="6157" width="14.7109375" style="4" customWidth="1"/>
    <col min="6158" max="6158" width="15.7109375" style="4" customWidth="1"/>
    <col min="6159" max="6159" width="15.42578125" style="4" customWidth="1"/>
    <col min="6160" max="6160" width="15.28515625" style="4" customWidth="1"/>
    <col min="6161" max="6161" width="15.140625" style="4" customWidth="1"/>
    <col min="6162" max="6162" width="15.28515625" style="4" customWidth="1"/>
    <col min="6163" max="6163" width="12.7109375" style="4" customWidth="1"/>
    <col min="6164" max="6164" width="15.28515625" style="4" customWidth="1"/>
    <col min="6165" max="6165" width="15.7109375" style="4" customWidth="1"/>
    <col min="6166" max="6166" width="14.42578125" style="4" customWidth="1"/>
    <col min="6167" max="6167" width="16" style="4" customWidth="1"/>
    <col min="6168" max="6168" width="15.28515625" style="4" customWidth="1"/>
    <col min="6169" max="6169" width="15.42578125" style="4" customWidth="1"/>
    <col min="6170" max="6170" width="14.28515625" style="4" customWidth="1"/>
    <col min="6171" max="6171" width="14.5703125" style="4" customWidth="1"/>
    <col min="6172" max="6400" width="16.85546875" style="4"/>
    <col min="6401" max="6401" width="28" style="4" customWidth="1"/>
    <col min="6402" max="6402" width="15.5703125" style="4" customWidth="1"/>
    <col min="6403" max="6403" width="48.5703125" style="4" customWidth="1"/>
    <col min="6404" max="6404" width="5.140625" style="4" customWidth="1"/>
    <col min="6405" max="6405" width="16.85546875" style="4"/>
    <col min="6406" max="6406" width="15" style="4" customWidth="1"/>
    <col min="6407" max="6407" width="14.5703125" style="4" customWidth="1"/>
    <col min="6408" max="6409" width="0" style="4" hidden="1" customWidth="1"/>
    <col min="6410" max="6410" width="13.28515625" style="4" customWidth="1"/>
    <col min="6411" max="6411" width="16.85546875" style="4"/>
    <col min="6412" max="6412" width="9.7109375" style="4" customWidth="1"/>
    <col min="6413" max="6413" width="14.7109375" style="4" customWidth="1"/>
    <col min="6414" max="6414" width="15.7109375" style="4" customWidth="1"/>
    <col min="6415" max="6415" width="15.42578125" style="4" customWidth="1"/>
    <col min="6416" max="6416" width="15.28515625" style="4" customWidth="1"/>
    <col min="6417" max="6417" width="15.140625" style="4" customWidth="1"/>
    <col min="6418" max="6418" width="15.28515625" style="4" customWidth="1"/>
    <col min="6419" max="6419" width="12.7109375" style="4" customWidth="1"/>
    <col min="6420" max="6420" width="15.28515625" style="4" customWidth="1"/>
    <col min="6421" max="6421" width="15.7109375" style="4" customWidth="1"/>
    <col min="6422" max="6422" width="14.42578125" style="4" customWidth="1"/>
    <col min="6423" max="6423" width="16" style="4" customWidth="1"/>
    <col min="6424" max="6424" width="15.28515625" style="4" customWidth="1"/>
    <col min="6425" max="6425" width="15.42578125" style="4" customWidth="1"/>
    <col min="6426" max="6426" width="14.28515625" style="4" customWidth="1"/>
    <col min="6427" max="6427" width="14.5703125" style="4" customWidth="1"/>
    <col min="6428" max="6656" width="16.85546875" style="4"/>
    <col min="6657" max="6657" width="28" style="4" customWidth="1"/>
    <col min="6658" max="6658" width="15.5703125" style="4" customWidth="1"/>
    <col min="6659" max="6659" width="48.5703125" style="4" customWidth="1"/>
    <col min="6660" max="6660" width="5.140625" style="4" customWidth="1"/>
    <col min="6661" max="6661" width="16.85546875" style="4"/>
    <col min="6662" max="6662" width="15" style="4" customWidth="1"/>
    <col min="6663" max="6663" width="14.5703125" style="4" customWidth="1"/>
    <col min="6664" max="6665" width="0" style="4" hidden="1" customWidth="1"/>
    <col min="6666" max="6666" width="13.28515625" style="4" customWidth="1"/>
    <col min="6667" max="6667" width="16.85546875" style="4"/>
    <col min="6668" max="6668" width="9.7109375" style="4" customWidth="1"/>
    <col min="6669" max="6669" width="14.7109375" style="4" customWidth="1"/>
    <col min="6670" max="6670" width="15.7109375" style="4" customWidth="1"/>
    <col min="6671" max="6671" width="15.42578125" style="4" customWidth="1"/>
    <col min="6672" max="6672" width="15.28515625" style="4" customWidth="1"/>
    <col min="6673" max="6673" width="15.140625" style="4" customWidth="1"/>
    <col min="6674" max="6674" width="15.28515625" style="4" customWidth="1"/>
    <col min="6675" max="6675" width="12.7109375" style="4" customWidth="1"/>
    <col min="6676" max="6676" width="15.28515625" style="4" customWidth="1"/>
    <col min="6677" max="6677" width="15.7109375" style="4" customWidth="1"/>
    <col min="6678" max="6678" width="14.42578125" style="4" customWidth="1"/>
    <col min="6679" max="6679" width="16" style="4" customWidth="1"/>
    <col min="6680" max="6680" width="15.28515625" style="4" customWidth="1"/>
    <col min="6681" max="6681" width="15.42578125" style="4" customWidth="1"/>
    <col min="6682" max="6682" width="14.28515625" style="4" customWidth="1"/>
    <col min="6683" max="6683" width="14.5703125" style="4" customWidth="1"/>
    <col min="6684" max="6912" width="16.85546875" style="4"/>
    <col min="6913" max="6913" width="28" style="4" customWidth="1"/>
    <col min="6914" max="6914" width="15.5703125" style="4" customWidth="1"/>
    <col min="6915" max="6915" width="48.5703125" style="4" customWidth="1"/>
    <col min="6916" max="6916" width="5.140625" style="4" customWidth="1"/>
    <col min="6917" max="6917" width="16.85546875" style="4"/>
    <col min="6918" max="6918" width="15" style="4" customWidth="1"/>
    <col min="6919" max="6919" width="14.5703125" style="4" customWidth="1"/>
    <col min="6920" max="6921" width="0" style="4" hidden="1" customWidth="1"/>
    <col min="6922" max="6922" width="13.28515625" style="4" customWidth="1"/>
    <col min="6923" max="6923" width="16.85546875" style="4"/>
    <col min="6924" max="6924" width="9.7109375" style="4" customWidth="1"/>
    <col min="6925" max="6925" width="14.7109375" style="4" customWidth="1"/>
    <col min="6926" max="6926" width="15.7109375" style="4" customWidth="1"/>
    <col min="6927" max="6927" width="15.42578125" style="4" customWidth="1"/>
    <col min="6928" max="6928" width="15.28515625" style="4" customWidth="1"/>
    <col min="6929" max="6929" width="15.140625" style="4" customWidth="1"/>
    <col min="6930" max="6930" width="15.28515625" style="4" customWidth="1"/>
    <col min="6931" max="6931" width="12.7109375" style="4" customWidth="1"/>
    <col min="6932" max="6932" width="15.28515625" style="4" customWidth="1"/>
    <col min="6933" max="6933" width="15.7109375" style="4" customWidth="1"/>
    <col min="6934" max="6934" width="14.42578125" style="4" customWidth="1"/>
    <col min="6935" max="6935" width="16" style="4" customWidth="1"/>
    <col min="6936" max="6936" width="15.28515625" style="4" customWidth="1"/>
    <col min="6937" max="6937" width="15.42578125" style="4" customWidth="1"/>
    <col min="6938" max="6938" width="14.28515625" style="4" customWidth="1"/>
    <col min="6939" max="6939" width="14.5703125" style="4" customWidth="1"/>
    <col min="6940" max="7168" width="16.85546875" style="4"/>
    <col min="7169" max="7169" width="28" style="4" customWidth="1"/>
    <col min="7170" max="7170" width="15.5703125" style="4" customWidth="1"/>
    <col min="7171" max="7171" width="48.5703125" style="4" customWidth="1"/>
    <col min="7172" max="7172" width="5.140625" style="4" customWidth="1"/>
    <col min="7173" max="7173" width="16.85546875" style="4"/>
    <col min="7174" max="7174" width="15" style="4" customWidth="1"/>
    <col min="7175" max="7175" width="14.5703125" style="4" customWidth="1"/>
    <col min="7176" max="7177" width="0" style="4" hidden="1" customWidth="1"/>
    <col min="7178" max="7178" width="13.28515625" style="4" customWidth="1"/>
    <col min="7179" max="7179" width="16.85546875" style="4"/>
    <col min="7180" max="7180" width="9.7109375" style="4" customWidth="1"/>
    <col min="7181" max="7181" width="14.7109375" style="4" customWidth="1"/>
    <col min="7182" max="7182" width="15.7109375" style="4" customWidth="1"/>
    <col min="7183" max="7183" width="15.42578125" style="4" customWidth="1"/>
    <col min="7184" max="7184" width="15.28515625" style="4" customWidth="1"/>
    <col min="7185" max="7185" width="15.140625" style="4" customWidth="1"/>
    <col min="7186" max="7186" width="15.28515625" style="4" customWidth="1"/>
    <col min="7187" max="7187" width="12.7109375" style="4" customWidth="1"/>
    <col min="7188" max="7188" width="15.28515625" style="4" customWidth="1"/>
    <col min="7189" max="7189" width="15.7109375" style="4" customWidth="1"/>
    <col min="7190" max="7190" width="14.42578125" style="4" customWidth="1"/>
    <col min="7191" max="7191" width="16" style="4" customWidth="1"/>
    <col min="7192" max="7192" width="15.28515625" style="4" customWidth="1"/>
    <col min="7193" max="7193" width="15.42578125" style="4" customWidth="1"/>
    <col min="7194" max="7194" width="14.28515625" style="4" customWidth="1"/>
    <col min="7195" max="7195" width="14.5703125" style="4" customWidth="1"/>
    <col min="7196" max="7424" width="16.85546875" style="4"/>
    <col min="7425" max="7425" width="28" style="4" customWidth="1"/>
    <col min="7426" max="7426" width="15.5703125" style="4" customWidth="1"/>
    <col min="7427" max="7427" width="48.5703125" style="4" customWidth="1"/>
    <col min="7428" max="7428" width="5.140625" style="4" customWidth="1"/>
    <col min="7429" max="7429" width="16.85546875" style="4"/>
    <col min="7430" max="7430" width="15" style="4" customWidth="1"/>
    <col min="7431" max="7431" width="14.5703125" style="4" customWidth="1"/>
    <col min="7432" max="7433" width="0" style="4" hidden="1" customWidth="1"/>
    <col min="7434" max="7434" width="13.28515625" style="4" customWidth="1"/>
    <col min="7435" max="7435" width="16.85546875" style="4"/>
    <col min="7436" max="7436" width="9.7109375" style="4" customWidth="1"/>
    <col min="7437" max="7437" width="14.7109375" style="4" customWidth="1"/>
    <col min="7438" max="7438" width="15.7109375" style="4" customWidth="1"/>
    <col min="7439" max="7439" width="15.42578125" style="4" customWidth="1"/>
    <col min="7440" max="7440" width="15.28515625" style="4" customWidth="1"/>
    <col min="7441" max="7441" width="15.140625" style="4" customWidth="1"/>
    <col min="7442" max="7442" width="15.28515625" style="4" customWidth="1"/>
    <col min="7443" max="7443" width="12.7109375" style="4" customWidth="1"/>
    <col min="7444" max="7444" width="15.28515625" style="4" customWidth="1"/>
    <col min="7445" max="7445" width="15.7109375" style="4" customWidth="1"/>
    <col min="7446" max="7446" width="14.42578125" style="4" customWidth="1"/>
    <col min="7447" max="7447" width="16" style="4" customWidth="1"/>
    <col min="7448" max="7448" width="15.28515625" style="4" customWidth="1"/>
    <col min="7449" max="7449" width="15.42578125" style="4" customWidth="1"/>
    <col min="7450" max="7450" width="14.28515625" style="4" customWidth="1"/>
    <col min="7451" max="7451" width="14.5703125" style="4" customWidth="1"/>
    <col min="7452" max="7680" width="16.85546875" style="4"/>
    <col min="7681" max="7681" width="28" style="4" customWidth="1"/>
    <col min="7682" max="7682" width="15.5703125" style="4" customWidth="1"/>
    <col min="7683" max="7683" width="48.5703125" style="4" customWidth="1"/>
    <col min="7684" max="7684" width="5.140625" style="4" customWidth="1"/>
    <col min="7685" max="7685" width="16.85546875" style="4"/>
    <col min="7686" max="7686" width="15" style="4" customWidth="1"/>
    <col min="7687" max="7687" width="14.5703125" style="4" customWidth="1"/>
    <col min="7688" max="7689" width="0" style="4" hidden="1" customWidth="1"/>
    <col min="7690" max="7690" width="13.28515625" style="4" customWidth="1"/>
    <col min="7691" max="7691" width="16.85546875" style="4"/>
    <col min="7692" max="7692" width="9.7109375" style="4" customWidth="1"/>
    <col min="7693" max="7693" width="14.7109375" style="4" customWidth="1"/>
    <col min="7694" max="7694" width="15.7109375" style="4" customWidth="1"/>
    <col min="7695" max="7695" width="15.42578125" style="4" customWidth="1"/>
    <col min="7696" max="7696" width="15.28515625" style="4" customWidth="1"/>
    <col min="7697" max="7697" width="15.140625" style="4" customWidth="1"/>
    <col min="7698" max="7698" width="15.28515625" style="4" customWidth="1"/>
    <col min="7699" max="7699" width="12.7109375" style="4" customWidth="1"/>
    <col min="7700" max="7700" width="15.28515625" style="4" customWidth="1"/>
    <col min="7701" max="7701" width="15.7109375" style="4" customWidth="1"/>
    <col min="7702" max="7702" width="14.42578125" style="4" customWidth="1"/>
    <col min="7703" max="7703" width="16" style="4" customWidth="1"/>
    <col min="7704" max="7704" width="15.28515625" style="4" customWidth="1"/>
    <col min="7705" max="7705" width="15.42578125" style="4" customWidth="1"/>
    <col min="7706" max="7706" width="14.28515625" style="4" customWidth="1"/>
    <col min="7707" max="7707" width="14.5703125" style="4" customWidth="1"/>
    <col min="7708" max="7936" width="16.85546875" style="4"/>
    <col min="7937" max="7937" width="28" style="4" customWidth="1"/>
    <col min="7938" max="7938" width="15.5703125" style="4" customWidth="1"/>
    <col min="7939" max="7939" width="48.5703125" style="4" customWidth="1"/>
    <col min="7940" max="7940" width="5.140625" style="4" customWidth="1"/>
    <col min="7941" max="7941" width="16.85546875" style="4"/>
    <col min="7942" max="7942" width="15" style="4" customWidth="1"/>
    <col min="7943" max="7943" width="14.5703125" style="4" customWidth="1"/>
    <col min="7944" max="7945" width="0" style="4" hidden="1" customWidth="1"/>
    <col min="7946" max="7946" width="13.28515625" style="4" customWidth="1"/>
    <col min="7947" max="7947" width="16.85546875" style="4"/>
    <col min="7948" max="7948" width="9.7109375" style="4" customWidth="1"/>
    <col min="7949" max="7949" width="14.7109375" style="4" customWidth="1"/>
    <col min="7950" max="7950" width="15.7109375" style="4" customWidth="1"/>
    <col min="7951" max="7951" width="15.42578125" style="4" customWidth="1"/>
    <col min="7952" max="7952" width="15.28515625" style="4" customWidth="1"/>
    <col min="7953" max="7953" width="15.140625" style="4" customWidth="1"/>
    <col min="7954" max="7954" width="15.28515625" style="4" customWidth="1"/>
    <col min="7955" max="7955" width="12.7109375" style="4" customWidth="1"/>
    <col min="7956" max="7956" width="15.28515625" style="4" customWidth="1"/>
    <col min="7957" max="7957" width="15.7109375" style="4" customWidth="1"/>
    <col min="7958" max="7958" width="14.42578125" style="4" customWidth="1"/>
    <col min="7959" max="7959" width="16" style="4" customWidth="1"/>
    <col min="7960" max="7960" width="15.28515625" style="4" customWidth="1"/>
    <col min="7961" max="7961" width="15.42578125" style="4" customWidth="1"/>
    <col min="7962" max="7962" width="14.28515625" style="4" customWidth="1"/>
    <col min="7963" max="7963" width="14.5703125" style="4" customWidth="1"/>
    <col min="7964" max="8192" width="16.85546875" style="4"/>
    <col min="8193" max="8193" width="28" style="4" customWidth="1"/>
    <col min="8194" max="8194" width="15.5703125" style="4" customWidth="1"/>
    <col min="8195" max="8195" width="48.5703125" style="4" customWidth="1"/>
    <col min="8196" max="8196" width="5.140625" style="4" customWidth="1"/>
    <col min="8197" max="8197" width="16.85546875" style="4"/>
    <col min="8198" max="8198" width="15" style="4" customWidth="1"/>
    <col min="8199" max="8199" width="14.5703125" style="4" customWidth="1"/>
    <col min="8200" max="8201" width="0" style="4" hidden="1" customWidth="1"/>
    <col min="8202" max="8202" width="13.28515625" style="4" customWidth="1"/>
    <col min="8203" max="8203" width="16.85546875" style="4"/>
    <col min="8204" max="8204" width="9.7109375" style="4" customWidth="1"/>
    <col min="8205" max="8205" width="14.7109375" style="4" customWidth="1"/>
    <col min="8206" max="8206" width="15.7109375" style="4" customWidth="1"/>
    <col min="8207" max="8207" width="15.42578125" style="4" customWidth="1"/>
    <col min="8208" max="8208" width="15.28515625" style="4" customWidth="1"/>
    <col min="8209" max="8209" width="15.140625" style="4" customWidth="1"/>
    <col min="8210" max="8210" width="15.28515625" style="4" customWidth="1"/>
    <col min="8211" max="8211" width="12.7109375" style="4" customWidth="1"/>
    <col min="8212" max="8212" width="15.28515625" style="4" customWidth="1"/>
    <col min="8213" max="8213" width="15.7109375" style="4" customWidth="1"/>
    <col min="8214" max="8214" width="14.42578125" style="4" customWidth="1"/>
    <col min="8215" max="8215" width="16" style="4" customWidth="1"/>
    <col min="8216" max="8216" width="15.28515625" style="4" customWidth="1"/>
    <col min="8217" max="8217" width="15.42578125" style="4" customWidth="1"/>
    <col min="8218" max="8218" width="14.28515625" style="4" customWidth="1"/>
    <col min="8219" max="8219" width="14.5703125" style="4" customWidth="1"/>
    <col min="8220" max="8448" width="16.85546875" style="4"/>
    <col min="8449" max="8449" width="28" style="4" customWidth="1"/>
    <col min="8450" max="8450" width="15.5703125" style="4" customWidth="1"/>
    <col min="8451" max="8451" width="48.5703125" style="4" customWidth="1"/>
    <col min="8452" max="8452" width="5.140625" style="4" customWidth="1"/>
    <col min="8453" max="8453" width="16.85546875" style="4"/>
    <col min="8454" max="8454" width="15" style="4" customWidth="1"/>
    <col min="8455" max="8455" width="14.5703125" style="4" customWidth="1"/>
    <col min="8456" max="8457" width="0" style="4" hidden="1" customWidth="1"/>
    <col min="8458" max="8458" width="13.28515625" style="4" customWidth="1"/>
    <col min="8459" max="8459" width="16.85546875" style="4"/>
    <col min="8460" max="8460" width="9.7109375" style="4" customWidth="1"/>
    <col min="8461" max="8461" width="14.7109375" style="4" customWidth="1"/>
    <col min="8462" max="8462" width="15.7109375" style="4" customWidth="1"/>
    <col min="8463" max="8463" width="15.42578125" style="4" customWidth="1"/>
    <col min="8464" max="8464" width="15.28515625" style="4" customWidth="1"/>
    <col min="8465" max="8465" width="15.140625" style="4" customWidth="1"/>
    <col min="8466" max="8466" width="15.28515625" style="4" customWidth="1"/>
    <col min="8467" max="8467" width="12.7109375" style="4" customWidth="1"/>
    <col min="8468" max="8468" width="15.28515625" style="4" customWidth="1"/>
    <col min="8469" max="8469" width="15.7109375" style="4" customWidth="1"/>
    <col min="8470" max="8470" width="14.42578125" style="4" customWidth="1"/>
    <col min="8471" max="8471" width="16" style="4" customWidth="1"/>
    <col min="8472" max="8472" width="15.28515625" style="4" customWidth="1"/>
    <col min="8473" max="8473" width="15.42578125" style="4" customWidth="1"/>
    <col min="8474" max="8474" width="14.28515625" style="4" customWidth="1"/>
    <col min="8475" max="8475" width="14.5703125" style="4" customWidth="1"/>
    <col min="8476" max="8704" width="16.85546875" style="4"/>
    <col min="8705" max="8705" width="28" style="4" customWidth="1"/>
    <col min="8706" max="8706" width="15.5703125" style="4" customWidth="1"/>
    <col min="8707" max="8707" width="48.5703125" style="4" customWidth="1"/>
    <col min="8708" max="8708" width="5.140625" style="4" customWidth="1"/>
    <col min="8709" max="8709" width="16.85546875" style="4"/>
    <col min="8710" max="8710" width="15" style="4" customWidth="1"/>
    <col min="8711" max="8711" width="14.5703125" style="4" customWidth="1"/>
    <col min="8712" max="8713" width="0" style="4" hidden="1" customWidth="1"/>
    <col min="8714" max="8714" width="13.28515625" style="4" customWidth="1"/>
    <col min="8715" max="8715" width="16.85546875" style="4"/>
    <col min="8716" max="8716" width="9.7109375" style="4" customWidth="1"/>
    <col min="8717" max="8717" width="14.7109375" style="4" customWidth="1"/>
    <col min="8718" max="8718" width="15.7109375" style="4" customWidth="1"/>
    <col min="8719" max="8719" width="15.42578125" style="4" customWidth="1"/>
    <col min="8720" max="8720" width="15.28515625" style="4" customWidth="1"/>
    <col min="8721" max="8721" width="15.140625" style="4" customWidth="1"/>
    <col min="8722" max="8722" width="15.28515625" style="4" customWidth="1"/>
    <col min="8723" max="8723" width="12.7109375" style="4" customWidth="1"/>
    <col min="8724" max="8724" width="15.28515625" style="4" customWidth="1"/>
    <col min="8725" max="8725" width="15.7109375" style="4" customWidth="1"/>
    <col min="8726" max="8726" width="14.42578125" style="4" customWidth="1"/>
    <col min="8727" max="8727" width="16" style="4" customWidth="1"/>
    <col min="8728" max="8728" width="15.28515625" style="4" customWidth="1"/>
    <col min="8729" max="8729" width="15.42578125" style="4" customWidth="1"/>
    <col min="8730" max="8730" width="14.28515625" style="4" customWidth="1"/>
    <col min="8731" max="8731" width="14.5703125" style="4" customWidth="1"/>
    <col min="8732" max="8960" width="16.85546875" style="4"/>
    <col min="8961" max="8961" width="28" style="4" customWidth="1"/>
    <col min="8962" max="8962" width="15.5703125" style="4" customWidth="1"/>
    <col min="8963" max="8963" width="48.5703125" style="4" customWidth="1"/>
    <col min="8964" max="8964" width="5.140625" style="4" customWidth="1"/>
    <col min="8965" max="8965" width="16.85546875" style="4"/>
    <col min="8966" max="8966" width="15" style="4" customWidth="1"/>
    <col min="8967" max="8967" width="14.5703125" style="4" customWidth="1"/>
    <col min="8968" max="8969" width="0" style="4" hidden="1" customWidth="1"/>
    <col min="8970" max="8970" width="13.28515625" style="4" customWidth="1"/>
    <col min="8971" max="8971" width="16.85546875" style="4"/>
    <col min="8972" max="8972" width="9.7109375" style="4" customWidth="1"/>
    <col min="8973" max="8973" width="14.7109375" style="4" customWidth="1"/>
    <col min="8974" max="8974" width="15.7109375" style="4" customWidth="1"/>
    <col min="8975" max="8975" width="15.42578125" style="4" customWidth="1"/>
    <col min="8976" max="8976" width="15.28515625" style="4" customWidth="1"/>
    <col min="8977" max="8977" width="15.140625" style="4" customWidth="1"/>
    <col min="8978" max="8978" width="15.28515625" style="4" customWidth="1"/>
    <col min="8979" max="8979" width="12.7109375" style="4" customWidth="1"/>
    <col min="8980" max="8980" width="15.28515625" style="4" customWidth="1"/>
    <col min="8981" max="8981" width="15.7109375" style="4" customWidth="1"/>
    <col min="8982" max="8982" width="14.42578125" style="4" customWidth="1"/>
    <col min="8983" max="8983" width="16" style="4" customWidth="1"/>
    <col min="8984" max="8984" width="15.28515625" style="4" customWidth="1"/>
    <col min="8985" max="8985" width="15.42578125" style="4" customWidth="1"/>
    <col min="8986" max="8986" width="14.28515625" style="4" customWidth="1"/>
    <col min="8987" max="8987" width="14.5703125" style="4" customWidth="1"/>
    <col min="8988" max="9216" width="16.85546875" style="4"/>
    <col min="9217" max="9217" width="28" style="4" customWidth="1"/>
    <col min="9218" max="9218" width="15.5703125" style="4" customWidth="1"/>
    <col min="9219" max="9219" width="48.5703125" style="4" customWidth="1"/>
    <col min="9220" max="9220" width="5.140625" style="4" customWidth="1"/>
    <col min="9221" max="9221" width="16.85546875" style="4"/>
    <col min="9222" max="9222" width="15" style="4" customWidth="1"/>
    <col min="9223" max="9223" width="14.5703125" style="4" customWidth="1"/>
    <col min="9224" max="9225" width="0" style="4" hidden="1" customWidth="1"/>
    <col min="9226" max="9226" width="13.28515625" style="4" customWidth="1"/>
    <col min="9227" max="9227" width="16.85546875" style="4"/>
    <col min="9228" max="9228" width="9.7109375" style="4" customWidth="1"/>
    <col min="9229" max="9229" width="14.7109375" style="4" customWidth="1"/>
    <col min="9230" max="9230" width="15.7109375" style="4" customWidth="1"/>
    <col min="9231" max="9231" width="15.42578125" style="4" customWidth="1"/>
    <col min="9232" max="9232" width="15.28515625" style="4" customWidth="1"/>
    <col min="9233" max="9233" width="15.140625" style="4" customWidth="1"/>
    <col min="9234" max="9234" width="15.28515625" style="4" customWidth="1"/>
    <col min="9235" max="9235" width="12.7109375" style="4" customWidth="1"/>
    <col min="9236" max="9236" width="15.28515625" style="4" customWidth="1"/>
    <col min="9237" max="9237" width="15.7109375" style="4" customWidth="1"/>
    <col min="9238" max="9238" width="14.42578125" style="4" customWidth="1"/>
    <col min="9239" max="9239" width="16" style="4" customWidth="1"/>
    <col min="9240" max="9240" width="15.28515625" style="4" customWidth="1"/>
    <col min="9241" max="9241" width="15.42578125" style="4" customWidth="1"/>
    <col min="9242" max="9242" width="14.28515625" style="4" customWidth="1"/>
    <col min="9243" max="9243" width="14.5703125" style="4" customWidth="1"/>
    <col min="9244" max="9472" width="16.85546875" style="4"/>
    <col min="9473" max="9473" width="28" style="4" customWidth="1"/>
    <col min="9474" max="9474" width="15.5703125" style="4" customWidth="1"/>
    <col min="9475" max="9475" width="48.5703125" style="4" customWidth="1"/>
    <col min="9476" max="9476" width="5.140625" style="4" customWidth="1"/>
    <col min="9477" max="9477" width="16.85546875" style="4"/>
    <col min="9478" max="9478" width="15" style="4" customWidth="1"/>
    <col min="9479" max="9479" width="14.5703125" style="4" customWidth="1"/>
    <col min="9480" max="9481" width="0" style="4" hidden="1" customWidth="1"/>
    <col min="9482" max="9482" width="13.28515625" style="4" customWidth="1"/>
    <col min="9483" max="9483" width="16.85546875" style="4"/>
    <col min="9484" max="9484" width="9.7109375" style="4" customWidth="1"/>
    <col min="9485" max="9485" width="14.7109375" style="4" customWidth="1"/>
    <col min="9486" max="9486" width="15.7109375" style="4" customWidth="1"/>
    <col min="9487" max="9487" width="15.42578125" style="4" customWidth="1"/>
    <col min="9488" max="9488" width="15.28515625" style="4" customWidth="1"/>
    <col min="9489" max="9489" width="15.140625" style="4" customWidth="1"/>
    <col min="9490" max="9490" width="15.28515625" style="4" customWidth="1"/>
    <col min="9491" max="9491" width="12.7109375" style="4" customWidth="1"/>
    <col min="9492" max="9492" width="15.28515625" style="4" customWidth="1"/>
    <col min="9493" max="9493" width="15.7109375" style="4" customWidth="1"/>
    <col min="9494" max="9494" width="14.42578125" style="4" customWidth="1"/>
    <col min="9495" max="9495" width="16" style="4" customWidth="1"/>
    <col min="9496" max="9496" width="15.28515625" style="4" customWidth="1"/>
    <col min="9497" max="9497" width="15.42578125" style="4" customWidth="1"/>
    <col min="9498" max="9498" width="14.28515625" style="4" customWidth="1"/>
    <col min="9499" max="9499" width="14.5703125" style="4" customWidth="1"/>
    <col min="9500" max="9728" width="16.85546875" style="4"/>
    <col min="9729" max="9729" width="28" style="4" customWidth="1"/>
    <col min="9730" max="9730" width="15.5703125" style="4" customWidth="1"/>
    <col min="9731" max="9731" width="48.5703125" style="4" customWidth="1"/>
    <col min="9732" max="9732" width="5.140625" style="4" customWidth="1"/>
    <col min="9733" max="9733" width="16.85546875" style="4"/>
    <col min="9734" max="9734" width="15" style="4" customWidth="1"/>
    <col min="9735" max="9735" width="14.5703125" style="4" customWidth="1"/>
    <col min="9736" max="9737" width="0" style="4" hidden="1" customWidth="1"/>
    <col min="9738" max="9738" width="13.28515625" style="4" customWidth="1"/>
    <col min="9739" max="9739" width="16.85546875" style="4"/>
    <col min="9740" max="9740" width="9.7109375" style="4" customWidth="1"/>
    <col min="9741" max="9741" width="14.7109375" style="4" customWidth="1"/>
    <col min="9742" max="9742" width="15.7109375" style="4" customWidth="1"/>
    <col min="9743" max="9743" width="15.42578125" style="4" customWidth="1"/>
    <col min="9744" max="9744" width="15.28515625" style="4" customWidth="1"/>
    <col min="9745" max="9745" width="15.140625" style="4" customWidth="1"/>
    <col min="9746" max="9746" width="15.28515625" style="4" customWidth="1"/>
    <col min="9747" max="9747" width="12.7109375" style="4" customWidth="1"/>
    <col min="9748" max="9748" width="15.28515625" style="4" customWidth="1"/>
    <col min="9749" max="9749" width="15.7109375" style="4" customWidth="1"/>
    <col min="9750" max="9750" width="14.42578125" style="4" customWidth="1"/>
    <col min="9751" max="9751" width="16" style="4" customWidth="1"/>
    <col min="9752" max="9752" width="15.28515625" style="4" customWidth="1"/>
    <col min="9753" max="9753" width="15.42578125" style="4" customWidth="1"/>
    <col min="9754" max="9754" width="14.28515625" style="4" customWidth="1"/>
    <col min="9755" max="9755" width="14.5703125" style="4" customWidth="1"/>
    <col min="9756" max="9984" width="16.85546875" style="4"/>
    <col min="9985" max="9985" width="28" style="4" customWidth="1"/>
    <col min="9986" max="9986" width="15.5703125" style="4" customWidth="1"/>
    <col min="9987" max="9987" width="48.5703125" style="4" customWidth="1"/>
    <col min="9988" max="9988" width="5.140625" style="4" customWidth="1"/>
    <col min="9989" max="9989" width="16.85546875" style="4"/>
    <col min="9990" max="9990" width="15" style="4" customWidth="1"/>
    <col min="9991" max="9991" width="14.5703125" style="4" customWidth="1"/>
    <col min="9992" max="9993" width="0" style="4" hidden="1" customWidth="1"/>
    <col min="9994" max="9994" width="13.28515625" style="4" customWidth="1"/>
    <col min="9995" max="9995" width="16.85546875" style="4"/>
    <col min="9996" max="9996" width="9.7109375" style="4" customWidth="1"/>
    <col min="9997" max="9997" width="14.7109375" style="4" customWidth="1"/>
    <col min="9998" max="9998" width="15.7109375" style="4" customWidth="1"/>
    <col min="9999" max="9999" width="15.42578125" style="4" customWidth="1"/>
    <col min="10000" max="10000" width="15.28515625" style="4" customWidth="1"/>
    <col min="10001" max="10001" width="15.140625" style="4" customWidth="1"/>
    <col min="10002" max="10002" width="15.28515625" style="4" customWidth="1"/>
    <col min="10003" max="10003" width="12.7109375" style="4" customWidth="1"/>
    <col min="10004" max="10004" width="15.28515625" style="4" customWidth="1"/>
    <col min="10005" max="10005" width="15.7109375" style="4" customWidth="1"/>
    <col min="10006" max="10006" width="14.42578125" style="4" customWidth="1"/>
    <col min="10007" max="10007" width="16" style="4" customWidth="1"/>
    <col min="10008" max="10008" width="15.28515625" style="4" customWidth="1"/>
    <col min="10009" max="10009" width="15.42578125" style="4" customWidth="1"/>
    <col min="10010" max="10010" width="14.28515625" style="4" customWidth="1"/>
    <col min="10011" max="10011" width="14.5703125" style="4" customWidth="1"/>
    <col min="10012" max="10240" width="16.85546875" style="4"/>
    <col min="10241" max="10241" width="28" style="4" customWidth="1"/>
    <col min="10242" max="10242" width="15.5703125" style="4" customWidth="1"/>
    <col min="10243" max="10243" width="48.5703125" style="4" customWidth="1"/>
    <col min="10244" max="10244" width="5.140625" style="4" customWidth="1"/>
    <col min="10245" max="10245" width="16.85546875" style="4"/>
    <col min="10246" max="10246" width="15" style="4" customWidth="1"/>
    <col min="10247" max="10247" width="14.5703125" style="4" customWidth="1"/>
    <col min="10248" max="10249" width="0" style="4" hidden="1" customWidth="1"/>
    <col min="10250" max="10250" width="13.28515625" style="4" customWidth="1"/>
    <col min="10251" max="10251" width="16.85546875" style="4"/>
    <col min="10252" max="10252" width="9.7109375" style="4" customWidth="1"/>
    <col min="10253" max="10253" width="14.7109375" style="4" customWidth="1"/>
    <col min="10254" max="10254" width="15.7109375" style="4" customWidth="1"/>
    <col min="10255" max="10255" width="15.42578125" style="4" customWidth="1"/>
    <col min="10256" max="10256" width="15.28515625" style="4" customWidth="1"/>
    <col min="10257" max="10257" width="15.140625" style="4" customWidth="1"/>
    <col min="10258" max="10258" width="15.28515625" style="4" customWidth="1"/>
    <col min="10259" max="10259" width="12.7109375" style="4" customWidth="1"/>
    <col min="10260" max="10260" width="15.28515625" style="4" customWidth="1"/>
    <col min="10261" max="10261" width="15.7109375" style="4" customWidth="1"/>
    <col min="10262" max="10262" width="14.42578125" style="4" customWidth="1"/>
    <col min="10263" max="10263" width="16" style="4" customWidth="1"/>
    <col min="10264" max="10264" width="15.28515625" style="4" customWidth="1"/>
    <col min="10265" max="10265" width="15.42578125" style="4" customWidth="1"/>
    <col min="10266" max="10266" width="14.28515625" style="4" customWidth="1"/>
    <col min="10267" max="10267" width="14.5703125" style="4" customWidth="1"/>
    <col min="10268" max="10496" width="16.85546875" style="4"/>
    <col min="10497" max="10497" width="28" style="4" customWidth="1"/>
    <col min="10498" max="10498" width="15.5703125" style="4" customWidth="1"/>
    <col min="10499" max="10499" width="48.5703125" style="4" customWidth="1"/>
    <col min="10500" max="10500" width="5.140625" style="4" customWidth="1"/>
    <col min="10501" max="10501" width="16.85546875" style="4"/>
    <col min="10502" max="10502" width="15" style="4" customWidth="1"/>
    <col min="10503" max="10503" width="14.5703125" style="4" customWidth="1"/>
    <col min="10504" max="10505" width="0" style="4" hidden="1" customWidth="1"/>
    <col min="10506" max="10506" width="13.28515625" style="4" customWidth="1"/>
    <col min="10507" max="10507" width="16.85546875" style="4"/>
    <col min="10508" max="10508" width="9.7109375" style="4" customWidth="1"/>
    <col min="10509" max="10509" width="14.7109375" style="4" customWidth="1"/>
    <col min="10510" max="10510" width="15.7109375" style="4" customWidth="1"/>
    <col min="10511" max="10511" width="15.42578125" style="4" customWidth="1"/>
    <col min="10512" max="10512" width="15.28515625" style="4" customWidth="1"/>
    <col min="10513" max="10513" width="15.140625" style="4" customWidth="1"/>
    <col min="10514" max="10514" width="15.28515625" style="4" customWidth="1"/>
    <col min="10515" max="10515" width="12.7109375" style="4" customWidth="1"/>
    <col min="10516" max="10516" width="15.28515625" style="4" customWidth="1"/>
    <col min="10517" max="10517" width="15.7109375" style="4" customWidth="1"/>
    <col min="10518" max="10518" width="14.42578125" style="4" customWidth="1"/>
    <col min="10519" max="10519" width="16" style="4" customWidth="1"/>
    <col min="10520" max="10520" width="15.28515625" style="4" customWidth="1"/>
    <col min="10521" max="10521" width="15.42578125" style="4" customWidth="1"/>
    <col min="10522" max="10522" width="14.28515625" style="4" customWidth="1"/>
    <col min="10523" max="10523" width="14.5703125" style="4" customWidth="1"/>
    <col min="10524" max="10752" width="16.85546875" style="4"/>
    <col min="10753" max="10753" width="28" style="4" customWidth="1"/>
    <col min="10754" max="10754" width="15.5703125" style="4" customWidth="1"/>
    <col min="10755" max="10755" width="48.5703125" style="4" customWidth="1"/>
    <col min="10756" max="10756" width="5.140625" style="4" customWidth="1"/>
    <col min="10757" max="10757" width="16.85546875" style="4"/>
    <col min="10758" max="10758" width="15" style="4" customWidth="1"/>
    <col min="10759" max="10759" width="14.5703125" style="4" customWidth="1"/>
    <col min="10760" max="10761" width="0" style="4" hidden="1" customWidth="1"/>
    <col min="10762" max="10762" width="13.28515625" style="4" customWidth="1"/>
    <col min="10763" max="10763" width="16.85546875" style="4"/>
    <col min="10764" max="10764" width="9.7109375" style="4" customWidth="1"/>
    <col min="10765" max="10765" width="14.7109375" style="4" customWidth="1"/>
    <col min="10766" max="10766" width="15.7109375" style="4" customWidth="1"/>
    <col min="10767" max="10767" width="15.42578125" style="4" customWidth="1"/>
    <col min="10768" max="10768" width="15.28515625" style="4" customWidth="1"/>
    <col min="10769" max="10769" width="15.140625" style="4" customWidth="1"/>
    <col min="10770" max="10770" width="15.28515625" style="4" customWidth="1"/>
    <col min="10771" max="10771" width="12.7109375" style="4" customWidth="1"/>
    <col min="10772" max="10772" width="15.28515625" style="4" customWidth="1"/>
    <col min="10773" max="10773" width="15.7109375" style="4" customWidth="1"/>
    <col min="10774" max="10774" width="14.42578125" style="4" customWidth="1"/>
    <col min="10775" max="10775" width="16" style="4" customWidth="1"/>
    <col min="10776" max="10776" width="15.28515625" style="4" customWidth="1"/>
    <col min="10777" max="10777" width="15.42578125" style="4" customWidth="1"/>
    <col min="10778" max="10778" width="14.28515625" style="4" customWidth="1"/>
    <col min="10779" max="10779" width="14.5703125" style="4" customWidth="1"/>
    <col min="10780" max="11008" width="16.85546875" style="4"/>
    <col min="11009" max="11009" width="28" style="4" customWidth="1"/>
    <col min="11010" max="11010" width="15.5703125" style="4" customWidth="1"/>
    <col min="11011" max="11011" width="48.5703125" style="4" customWidth="1"/>
    <col min="11012" max="11012" width="5.140625" style="4" customWidth="1"/>
    <col min="11013" max="11013" width="16.85546875" style="4"/>
    <col min="11014" max="11014" width="15" style="4" customWidth="1"/>
    <col min="11015" max="11015" width="14.5703125" style="4" customWidth="1"/>
    <col min="11016" max="11017" width="0" style="4" hidden="1" customWidth="1"/>
    <col min="11018" max="11018" width="13.28515625" style="4" customWidth="1"/>
    <col min="11019" max="11019" width="16.85546875" style="4"/>
    <col min="11020" max="11020" width="9.7109375" style="4" customWidth="1"/>
    <col min="11021" max="11021" width="14.7109375" style="4" customWidth="1"/>
    <col min="11022" max="11022" width="15.7109375" style="4" customWidth="1"/>
    <col min="11023" max="11023" width="15.42578125" style="4" customWidth="1"/>
    <col min="11024" max="11024" width="15.28515625" style="4" customWidth="1"/>
    <col min="11025" max="11025" width="15.140625" style="4" customWidth="1"/>
    <col min="11026" max="11026" width="15.28515625" style="4" customWidth="1"/>
    <col min="11027" max="11027" width="12.7109375" style="4" customWidth="1"/>
    <col min="11028" max="11028" width="15.28515625" style="4" customWidth="1"/>
    <col min="11029" max="11029" width="15.7109375" style="4" customWidth="1"/>
    <col min="11030" max="11030" width="14.42578125" style="4" customWidth="1"/>
    <col min="11031" max="11031" width="16" style="4" customWidth="1"/>
    <col min="11032" max="11032" width="15.28515625" style="4" customWidth="1"/>
    <col min="11033" max="11033" width="15.42578125" style="4" customWidth="1"/>
    <col min="11034" max="11034" width="14.28515625" style="4" customWidth="1"/>
    <col min="11035" max="11035" width="14.5703125" style="4" customWidth="1"/>
    <col min="11036" max="11264" width="16.85546875" style="4"/>
    <col min="11265" max="11265" width="28" style="4" customWidth="1"/>
    <col min="11266" max="11266" width="15.5703125" style="4" customWidth="1"/>
    <col min="11267" max="11267" width="48.5703125" style="4" customWidth="1"/>
    <col min="11268" max="11268" width="5.140625" style="4" customWidth="1"/>
    <col min="11269" max="11269" width="16.85546875" style="4"/>
    <col min="11270" max="11270" width="15" style="4" customWidth="1"/>
    <col min="11271" max="11271" width="14.5703125" style="4" customWidth="1"/>
    <col min="11272" max="11273" width="0" style="4" hidden="1" customWidth="1"/>
    <col min="11274" max="11274" width="13.28515625" style="4" customWidth="1"/>
    <col min="11275" max="11275" width="16.85546875" style="4"/>
    <col min="11276" max="11276" width="9.7109375" style="4" customWidth="1"/>
    <col min="11277" max="11277" width="14.7109375" style="4" customWidth="1"/>
    <col min="11278" max="11278" width="15.7109375" style="4" customWidth="1"/>
    <col min="11279" max="11279" width="15.42578125" style="4" customWidth="1"/>
    <col min="11280" max="11280" width="15.28515625" style="4" customWidth="1"/>
    <col min="11281" max="11281" width="15.140625" style="4" customWidth="1"/>
    <col min="11282" max="11282" width="15.28515625" style="4" customWidth="1"/>
    <col min="11283" max="11283" width="12.7109375" style="4" customWidth="1"/>
    <col min="11284" max="11284" width="15.28515625" style="4" customWidth="1"/>
    <col min="11285" max="11285" width="15.7109375" style="4" customWidth="1"/>
    <col min="11286" max="11286" width="14.42578125" style="4" customWidth="1"/>
    <col min="11287" max="11287" width="16" style="4" customWidth="1"/>
    <col min="11288" max="11288" width="15.28515625" style="4" customWidth="1"/>
    <col min="11289" max="11289" width="15.42578125" style="4" customWidth="1"/>
    <col min="11290" max="11290" width="14.28515625" style="4" customWidth="1"/>
    <col min="11291" max="11291" width="14.5703125" style="4" customWidth="1"/>
    <col min="11292" max="11520" width="16.85546875" style="4"/>
    <col min="11521" max="11521" width="28" style="4" customWidth="1"/>
    <col min="11522" max="11522" width="15.5703125" style="4" customWidth="1"/>
    <col min="11523" max="11523" width="48.5703125" style="4" customWidth="1"/>
    <col min="11524" max="11524" width="5.140625" style="4" customWidth="1"/>
    <col min="11525" max="11525" width="16.85546875" style="4"/>
    <col min="11526" max="11526" width="15" style="4" customWidth="1"/>
    <col min="11527" max="11527" width="14.5703125" style="4" customWidth="1"/>
    <col min="11528" max="11529" width="0" style="4" hidden="1" customWidth="1"/>
    <col min="11530" max="11530" width="13.28515625" style="4" customWidth="1"/>
    <col min="11531" max="11531" width="16.85546875" style="4"/>
    <col min="11532" max="11532" width="9.7109375" style="4" customWidth="1"/>
    <col min="11533" max="11533" width="14.7109375" style="4" customWidth="1"/>
    <col min="11534" max="11534" width="15.7109375" style="4" customWidth="1"/>
    <col min="11535" max="11535" width="15.42578125" style="4" customWidth="1"/>
    <col min="11536" max="11536" width="15.28515625" style="4" customWidth="1"/>
    <col min="11537" max="11537" width="15.140625" style="4" customWidth="1"/>
    <col min="11538" max="11538" width="15.28515625" style="4" customWidth="1"/>
    <col min="11539" max="11539" width="12.7109375" style="4" customWidth="1"/>
    <col min="11540" max="11540" width="15.28515625" style="4" customWidth="1"/>
    <col min="11541" max="11541" width="15.7109375" style="4" customWidth="1"/>
    <col min="11542" max="11542" width="14.42578125" style="4" customWidth="1"/>
    <col min="11543" max="11543" width="16" style="4" customWidth="1"/>
    <col min="11544" max="11544" width="15.28515625" style="4" customWidth="1"/>
    <col min="11545" max="11545" width="15.42578125" style="4" customWidth="1"/>
    <col min="11546" max="11546" width="14.28515625" style="4" customWidth="1"/>
    <col min="11547" max="11547" width="14.5703125" style="4" customWidth="1"/>
    <col min="11548" max="11776" width="16.85546875" style="4"/>
    <col min="11777" max="11777" width="28" style="4" customWidth="1"/>
    <col min="11778" max="11778" width="15.5703125" style="4" customWidth="1"/>
    <col min="11779" max="11779" width="48.5703125" style="4" customWidth="1"/>
    <col min="11780" max="11780" width="5.140625" style="4" customWidth="1"/>
    <col min="11781" max="11781" width="16.85546875" style="4"/>
    <col min="11782" max="11782" width="15" style="4" customWidth="1"/>
    <col min="11783" max="11783" width="14.5703125" style="4" customWidth="1"/>
    <col min="11784" max="11785" width="0" style="4" hidden="1" customWidth="1"/>
    <col min="11786" max="11786" width="13.28515625" style="4" customWidth="1"/>
    <col min="11787" max="11787" width="16.85546875" style="4"/>
    <col min="11788" max="11788" width="9.7109375" style="4" customWidth="1"/>
    <col min="11789" max="11789" width="14.7109375" style="4" customWidth="1"/>
    <col min="11790" max="11790" width="15.7109375" style="4" customWidth="1"/>
    <col min="11791" max="11791" width="15.42578125" style="4" customWidth="1"/>
    <col min="11792" max="11792" width="15.28515625" style="4" customWidth="1"/>
    <col min="11793" max="11793" width="15.140625" style="4" customWidth="1"/>
    <col min="11794" max="11794" width="15.28515625" style="4" customWidth="1"/>
    <col min="11795" max="11795" width="12.7109375" style="4" customWidth="1"/>
    <col min="11796" max="11796" width="15.28515625" style="4" customWidth="1"/>
    <col min="11797" max="11797" width="15.7109375" style="4" customWidth="1"/>
    <col min="11798" max="11798" width="14.42578125" style="4" customWidth="1"/>
    <col min="11799" max="11799" width="16" style="4" customWidth="1"/>
    <col min="11800" max="11800" width="15.28515625" style="4" customWidth="1"/>
    <col min="11801" max="11801" width="15.42578125" style="4" customWidth="1"/>
    <col min="11802" max="11802" width="14.28515625" style="4" customWidth="1"/>
    <col min="11803" max="11803" width="14.5703125" style="4" customWidth="1"/>
    <col min="11804" max="12032" width="16.85546875" style="4"/>
    <col min="12033" max="12033" width="28" style="4" customWidth="1"/>
    <col min="12034" max="12034" width="15.5703125" style="4" customWidth="1"/>
    <col min="12035" max="12035" width="48.5703125" style="4" customWidth="1"/>
    <col min="12036" max="12036" width="5.140625" style="4" customWidth="1"/>
    <col min="12037" max="12037" width="16.85546875" style="4"/>
    <col min="12038" max="12038" width="15" style="4" customWidth="1"/>
    <col min="12039" max="12039" width="14.5703125" style="4" customWidth="1"/>
    <col min="12040" max="12041" width="0" style="4" hidden="1" customWidth="1"/>
    <col min="12042" max="12042" width="13.28515625" style="4" customWidth="1"/>
    <col min="12043" max="12043" width="16.85546875" style="4"/>
    <col min="12044" max="12044" width="9.7109375" style="4" customWidth="1"/>
    <col min="12045" max="12045" width="14.7109375" style="4" customWidth="1"/>
    <col min="12046" max="12046" width="15.7109375" style="4" customWidth="1"/>
    <col min="12047" max="12047" width="15.42578125" style="4" customWidth="1"/>
    <col min="12048" max="12048" width="15.28515625" style="4" customWidth="1"/>
    <col min="12049" max="12049" width="15.140625" style="4" customWidth="1"/>
    <col min="12050" max="12050" width="15.28515625" style="4" customWidth="1"/>
    <col min="12051" max="12051" width="12.7109375" style="4" customWidth="1"/>
    <col min="12052" max="12052" width="15.28515625" style="4" customWidth="1"/>
    <col min="12053" max="12053" width="15.7109375" style="4" customWidth="1"/>
    <col min="12054" max="12054" width="14.42578125" style="4" customWidth="1"/>
    <col min="12055" max="12055" width="16" style="4" customWidth="1"/>
    <col min="12056" max="12056" width="15.28515625" style="4" customWidth="1"/>
    <col min="12057" max="12057" width="15.42578125" style="4" customWidth="1"/>
    <col min="12058" max="12058" width="14.28515625" style="4" customWidth="1"/>
    <col min="12059" max="12059" width="14.5703125" style="4" customWidth="1"/>
    <col min="12060" max="12288" width="16.85546875" style="4"/>
    <col min="12289" max="12289" width="28" style="4" customWidth="1"/>
    <col min="12290" max="12290" width="15.5703125" style="4" customWidth="1"/>
    <col min="12291" max="12291" width="48.5703125" style="4" customWidth="1"/>
    <col min="12292" max="12292" width="5.140625" style="4" customWidth="1"/>
    <col min="12293" max="12293" width="16.85546875" style="4"/>
    <col min="12294" max="12294" width="15" style="4" customWidth="1"/>
    <col min="12295" max="12295" width="14.5703125" style="4" customWidth="1"/>
    <col min="12296" max="12297" width="0" style="4" hidden="1" customWidth="1"/>
    <col min="12298" max="12298" width="13.28515625" style="4" customWidth="1"/>
    <col min="12299" max="12299" width="16.85546875" style="4"/>
    <col min="12300" max="12300" width="9.7109375" style="4" customWidth="1"/>
    <col min="12301" max="12301" width="14.7109375" style="4" customWidth="1"/>
    <col min="12302" max="12302" width="15.7109375" style="4" customWidth="1"/>
    <col min="12303" max="12303" width="15.42578125" style="4" customWidth="1"/>
    <col min="12304" max="12304" width="15.28515625" style="4" customWidth="1"/>
    <col min="12305" max="12305" width="15.140625" style="4" customWidth="1"/>
    <col min="12306" max="12306" width="15.28515625" style="4" customWidth="1"/>
    <col min="12307" max="12307" width="12.7109375" style="4" customWidth="1"/>
    <col min="12308" max="12308" width="15.28515625" style="4" customWidth="1"/>
    <col min="12309" max="12309" width="15.7109375" style="4" customWidth="1"/>
    <col min="12310" max="12310" width="14.42578125" style="4" customWidth="1"/>
    <col min="12311" max="12311" width="16" style="4" customWidth="1"/>
    <col min="12312" max="12312" width="15.28515625" style="4" customWidth="1"/>
    <col min="12313" max="12313" width="15.42578125" style="4" customWidth="1"/>
    <col min="12314" max="12314" width="14.28515625" style="4" customWidth="1"/>
    <col min="12315" max="12315" width="14.5703125" style="4" customWidth="1"/>
    <col min="12316" max="12544" width="16.85546875" style="4"/>
    <col min="12545" max="12545" width="28" style="4" customWidth="1"/>
    <col min="12546" max="12546" width="15.5703125" style="4" customWidth="1"/>
    <col min="12547" max="12547" width="48.5703125" style="4" customWidth="1"/>
    <col min="12548" max="12548" width="5.140625" style="4" customWidth="1"/>
    <col min="12549" max="12549" width="16.85546875" style="4"/>
    <col min="12550" max="12550" width="15" style="4" customWidth="1"/>
    <col min="12551" max="12551" width="14.5703125" style="4" customWidth="1"/>
    <col min="12552" max="12553" width="0" style="4" hidden="1" customWidth="1"/>
    <col min="12554" max="12554" width="13.28515625" style="4" customWidth="1"/>
    <col min="12555" max="12555" width="16.85546875" style="4"/>
    <col min="12556" max="12556" width="9.7109375" style="4" customWidth="1"/>
    <col min="12557" max="12557" width="14.7109375" style="4" customWidth="1"/>
    <col min="12558" max="12558" width="15.7109375" style="4" customWidth="1"/>
    <col min="12559" max="12559" width="15.42578125" style="4" customWidth="1"/>
    <col min="12560" max="12560" width="15.28515625" style="4" customWidth="1"/>
    <col min="12561" max="12561" width="15.140625" style="4" customWidth="1"/>
    <col min="12562" max="12562" width="15.28515625" style="4" customWidth="1"/>
    <col min="12563" max="12563" width="12.7109375" style="4" customWidth="1"/>
    <col min="12564" max="12564" width="15.28515625" style="4" customWidth="1"/>
    <col min="12565" max="12565" width="15.7109375" style="4" customWidth="1"/>
    <col min="12566" max="12566" width="14.42578125" style="4" customWidth="1"/>
    <col min="12567" max="12567" width="16" style="4" customWidth="1"/>
    <col min="12568" max="12568" width="15.28515625" style="4" customWidth="1"/>
    <col min="12569" max="12569" width="15.42578125" style="4" customWidth="1"/>
    <col min="12570" max="12570" width="14.28515625" style="4" customWidth="1"/>
    <col min="12571" max="12571" width="14.5703125" style="4" customWidth="1"/>
    <col min="12572" max="12800" width="16.85546875" style="4"/>
    <col min="12801" max="12801" width="28" style="4" customWidth="1"/>
    <col min="12802" max="12802" width="15.5703125" style="4" customWidth="1"/>
    <col min="12803" max="12803" width="48.5703125" style="4" customWidth="1"/>
    <col min="12804" max="12804" width="5.140625" style="4" customWidth="1"/>
    <col min="12805" max="12805" width="16.85546875" style="4"/>
    <col min="12806" max="12806" width="15" style="4" customWidth="1"/>
    <col min="12807" max="12807" width="14.5703125" style="4" customWidth="1"/>
    <col min="12808" max="12809" width="0" style="4" hidden="1" customWidth="1"/>
    <col min="12810" max="12810" width="13.28515625" style="4" customWidth="1"/>
    <col min="12811" max="12811" width="16.85546875" style="4"/>
    <col min="12812" max="12812" width="9.7109375" style="4" customWidth="1"/>
    <col min="12813" max="12813" width="14.7109375" style="4" customWidth="1"/>
    <col min="12814" max="12814" width="15.7109375" style="4" customWidth="1"/>
    <col min="12815" max="12815" width="15.42578125" style="4" customWidth="1"/>
    <col min="12816" max="12816" width="15.28515625" style="4" customWidth="1"/>
    <col min="12817" max="12817" width="15.140625" style="4" customWidth="1"/>
    <col min="12818" max="12818" width="15.28515625" style="4" customWidth="1"/>
    <col min="12819" max="12819" width="12.7109375" style="4" customWidth="1"/>
    <col min="12820" max="12820" width="15.28515625" style="4" customWidth="1"/>
    <col min="12821" max="12821" width="15.7109375" style="4" customWidth="1"/>
    <col min="12822" max="12822" width="14.42578125" style="4" customWidth="1"/>
    <col min="12823" max="12823" width="16" style="4" customWidth="1"/>
    <col min="12824" max="12824" width="15.28515625" style="4" customWidth="1"/>
    <col min="12825" max="12825" width="15.42578125" style="4" customWidth="1"/>
    <col min="12826" max="12826" width="14.28515625" style="4" customWidth="1"/>
    <col min="12827" max="12827" width="14.5703125" style="4" customWidth="1"/>
    <col min="12828" max="13056" width="16.85546875" style="4"/>
    <col min="13057" max="13057" width="28" style="4" customWidth="1"/>
    <col min="13058" max="13058" width="15.5703125" style="4" customWidth="1"/>
    <col min="13059" max="13059" width="48.5703125" style="4" customWidth="1"/>
    <col min="13060" max="13060" width="5.140625" style="4" customWidth="1"/>
    <col min="13061" max="13061" width="16.85546875" style="4"/>
    <col min="13062" max="13062" width="15" style="4" customWidth="1"/>
    <col min="13063" max="13063" width="14.5703125" style="4" customWidth="1"/>
    <col min="13064" max="13065" width="0" style="4" hidden="1" customWidth="1"/>
    <col min="13066" max="13066" width="13.28515625" style="4" customWidth="1"/>
    <col min="13067" max="13067" width="16.85546875" style="4"/>
    <col min="13068" max="13068" width="9.7109375" style="4" customWidth="1"/>
    <col min="13069" max="13069" width="14.7109375" style="4" customWidth="1"/>
    <col min="13070" max="13070" width="15.7109375" style="4" customWidth="1"/>
    <col min="13071" max="13071" width="15.42578125" style="4" customWidth="1"/>
    <col min="13072" max="13072" width="15.28515625" style="4" customWidth="1"/>
    <col min="13073" max="13073" width="15.140625" style="4" customWidth="1"/>
    <col min="13074" max="13074" width="15.28515625" style="4" customWidth="1"/>
    <col min="13075" max="13075" width="12.7109375" style="4" customWidth="1"/>
    <col min="13076" max="13076" width="15.28515625" style="4" customWidth="1"/>
    <col min="13077" max="13077" width="15.7109375" style="4" customWidth="1"/>
    <col min="13078" max="13078" width="14.42578125" style="4" customWidth="1"/>
    <col min="13079" max="13079" width="16" style="4" customWidth="1"/>
    <col min="13080" max="13080" width="15.28515625" style="4" customWidth="1"/>
    <col min="13081" max="13081" width="15.42578125" style="4" customWidth="1"/>
    <col min="13082" max="13082" width="14.28515625" style="4" customWidth="1"/>
    <col min="13083" max="13083" width="14.5703125" style="4" customWidth="1"/>
    <col min="13084" max="13312" width="16.85546875" style="4"/>
    <col min="13313" max="13313" width="28" style="4" customWidth="1"/>
    <col min="13314" max="13314" width="15.5703125" style="4" customWidth="1"/>
    <col min="13315" max="13315" width="48.5703125" style="4" customWidth="1"/>
    <col min="13316" max="13316" width="5.140625" style="4" customWidth="1"/>
    <col min="13317" max="13317" width="16.85546875" style="4"/>
    <col min="13318" max="13318" width="15" style="4" customWidth="1"/>
    <col min="13319" max="13319" width="14.5703125" style="4" customWidth="1"/>
    <col min="13320" max="13321" width="0" style="4" hidden="1" customWidth="1"/>
    <col min="13322" max="13322" width="13.28515625" style="4" customWidth="1"/>
    <col min="13323" max="13323" width="16.85546875" style="4"/>
    <col min="13324" max="13324" width="9.7109375" style="4" customWidth="1"/>
    <col min="13325" max="13325" width="14.7109375" style="4" customWidth="1"/>
    <col min="13326" max="13326" width="15.7109375" style="4" customWidth="1"/>
    <col min="13327" max="13327" width="15.42578125" style="4" customWidth="1"/>
    <col min="13328" max="13328" width="15.28515625" style="4" customWidth="1"/>
    <col min="13329" max="13329" width="15.140625" style="4" customWidth="1"/>
    <col min="13330" max="13330" width="15.28515625" style="4" customWidth="1"/>
    <col min="13331" max="13331" width="12.7109375" style="4" customWidth="1"/>
    <col min="13332" max="13332" width="15.28515625" style="4" customWidth="1"/>
    <col min="13333" max="13333" width="15.7109375" style="4" customWidth="1"/>
    <col min="13334" max="13334" width="14.42578125" style="4" customWidth="1"/>
    <col min="13335" max="13335" width="16" style="4" customWidth="1"/>
    <col min="13336" max="13336" width="15.28515625" style="4" customWidth="1"/>
    <col min="13337" max="13337" width="15.42578125" style="4" customWidth="1"/>
    <col min="13338" max="13338" width="14.28515625" style="4" customWidth="1"/>
    <col min="13339" max="13339" width="14.5703125" style="4" customWidth="1"/>
    <col min="13340" max="13568" width="16.85546875" style="4"/>
    <col min="13569" max="13569" width="28" style="4" customWidth="1"/>
    <col min="13570" max="13570" width="15.5703125" style="4" customWidth="1"/>
    <col min="13571" max="13571" width="48.5703125" style="4" customWidth="1"/>
    <col min="13572" max="13572" width="5.140625" style="4" customWidth="1"/>
    <col min="13573" max="13573" width="16.85546875" style="4"/>
    <col min="13574" max="13574" width="15" style="4" customWidth="1"/>
    <col min="13575" max="13575" width="14.5703125" style="4" customWidth="1"/>
    <col min="13576" max="13577" width="0" style="4" hidden="1" customWidth="1"/>
    <col min="13578" max="13578" width="13.28515625" style="4" customWidth="1"/>
    <col min="13579" max="13579" width="16.85546875" style="4"/>
    <col min="13580" max="13580" width="9.7109375" style="4" customWidth="1"/>
    <col min="13581" max="13581" width="14.7109375" style="4" customWidth="1"/>
    <col min="13582" max="13582" width="15.7109375" style="4" customWidth="1"/>
    <col min="13583" max="13583" width="15.42578125" style="4" customWidth="1"/>
    <col min="13584" max="13584" width="15.28515625" style="4" customWidth="1"/>
    <col min="13585" max="13585" width="15.140625" style="4" customWidth="1"/>
    <col min="13586" max="13586" width="15.28515625" style="4" customWidth="1"/>
    <col min="13587" max="13587" width="12.7109375" style="4" customWidth="1"/>
    <col min="13588" max="13588" width="15.28515625" style="4" customWidth="1"/>
    <col min="13589" max="13589" width="15.7109375" style="4" customWidth="1"/>
    <col min="13590" max="13590" width="14.42578125" style="4" customWidth="1"/>
    <col min="13591" max="13591" width="16" style="4" customWidth="1"/>
    <col min="13592" max="13592" width="15.28515625" style="4" customWidth="1"/>
    <col min="13593" max="13593" width="15.42578125" style="4" customWidth="1"/>
    <col min="13594" max="13594" width="14.28515625" style="4" customWidth="1"/>
    <col min="13595" max="13595" width="14.5703125" style="4" customWidth="1"/>
    <col min="13596" max="13824" width="16.85546875" style="4"/>
    <col min="13825" max="13825" width="28" style="4" customWidth="1"/>
    <col min="13826" max="13826" width="15.5703125" style="4" customWidth="1"/>
    <col min="13827" max="13827" width="48.5703125" style="4" customWidth="1"/>
    <col min="13828" max="13828" width="5.140625" style="4" customWidth="1"/>
    <col min="13829" max="13829" width="16.85546875" style="4"/>
    <col min="13830" max="13830" width="15" style="4" customWidth="1"/>
    <col min="13831" max="13831" width="14.5703125" style="4" customWidth="1"/>
    <col min="13832" max="13833" width="0" style="4" hidden="1" customWidth="1"/>
    <col min="13834" max="13834" width="13.28515625" style="4" customWidth="1"/>
    <col min="13835" max="13835" width="16.85546875" style="4"/>
    <col min="13836" max="13836" width="9.7109375" style="4" customWidth="1"/>
    <col min="13837" max="13837" width="14.7109375" style="4" customWidth="1"/>
    <col min="13838" max="13838" width="15.7109375" style="4" customWidth="1"/>
    <col min="13839" max="13839" width="15.42578125" style="4" customWidth="1"/>
    <col min="13840" max="13840" width="15.28515625" style="4" customWidth="1"/>
    <col min="13841" max="13841" width="15.140625" style="4" customWidth="1"/>
    <col min="13842" max="13842" width="15.28515625" style="4" customWidth="1"/>
    <col min="13843" max="13843" width="12.7109375" style="4" customWidth="1"/>
    <col min="13844" max="13844" width="15.28515625" style="4" customWidth="1"/>
    <col min="13845" max="13845" width="15.7109375" style="4" customWidth="1"/>
    <col min="13846" max="13846" width="14.42578125" style="4" customWidth="1"/>
    <col min="13847" max="13847" width="16" style="4" customWidth="1"/>
    <col min="13848" max="13848" width="15.28515625" style="4" customWidth="1"/>
    <col min="13849" max="13849" width="15.42578125" style="4" customWidth="1"/>
    <col min="13850" max="13850" width="14.28515625" style="4" customWidth="1"/>
    <col min="13851" max="13851" width="14.5703125" style="4" customWidth="1"/>
    <col min="13852" max="14080" width="16.85546875" style="4"/>
    <col min="14081" max="14081" width="28" style="4" customWidth="1"/>
    <col min="14082" max="14082" width="15.5703125" style="4" customWidth="1"/>
    <col min="14083" max="14083" width="48.5703125" style="4" customWidth="1"/>
    <col min="14084" max="14084" width="5.140625" style="4" customWidth="1"/>
    <col min="14085" max="14085" width="16.85546875" style="4"/>
    <col min="14086" max="14086" width="15" style="4" customWidth="1"/>
    <col min="14087" max="14087" width="14.5703125" style="4" customWidth="1"/>
    <col min="14088" max="14089" width="0" style="4" hidden="1" customWidth="1"/>
    <col min="14090" max="14090" width="13.28515625" style="4" customWidth="1"/>
    <col min="14091" max="14091" width="16.85546875" style="4"/>
    <col min="14092" max="14092" width="9.7109375" style="4" customWidth="1"/>
    <col min="14093" max="14093" width="14.7109375" style="4" customWidth="1"/>
    <col min="14094" max="14094" width="15.7109375" style="4" customWidth="1"/>
    <col min="14095" max="14095" width="15.42578125" style="4" customWidth="1"/>
    <col min="14096" max="14096" width="15.28515625" style="4" customWidth="1"/>
    <col min="14097" max="14097" width="15.140625" style="4" customWidth="1"/>
    <col min="14098" max="14098" width="15.28515625" style="4" customWidth="1"/>
    <col min="14099" max="14099" width="12.7109375" style="4" customWidth="1"/>
    <col min="14100" max="14100" width="15.28515625" style="4" customWidth="1"/>
    <col min="14101" max="14101" width="15.7109375" style="4" customWidth="1"/>
    <col min="14102" max="14102" width="14.42578125" style="4" customWidth="1"/>
    <col min="14103" max="14103" width="16" style="4" customWidth="1"/>
    <col min="14104" max="14104" width="15.28515625" style="4" customWidth="1"/>
    <col min="14105" max="14105" width="15.42578125" style="4" customWidth="1"/>
    <col min="14106" max="14106" width="14.28515625" style="4" customWidth="1"/>
    <col min="14107" max="14107" width="14.5703125" style="4" customWidth="1"/>
    <col min="14108" max="14336" width="16.85546875" style="4"/>
    <col min="14337" max="14337" width="28" style="4" customWidth="1"/>
    <col min="14338" max="14338" width="15.5703125" style="4" customWidth="1"/>
    <col min="14339" max="14339" width="48.5703125" style="4" customWidth="1"/>
    <col min="14340" max="14340" width="5.140625" style="4" customWidth="1"/>
    <col min="14341" max="14341" width="16.85546875" style="4"/>
    <col min="14342" max="14342" width="15" style="4" customWidth="1"/>
    <col min="14343" max="14343" width="14.5703125" style="4" customWidth="1"/>
    <col min="14344" max="14345" width="0" style="4" hidden="1" customWidth="1"/>
    <col min="14346" max="14346" width="13.28515625" style="4" customWidth="1"/>
    <col min="14347" max="14347" width="16.85546875" style="4"/>
    <col min="14348" max="14348" width="9.7109375" style="4" customWidth="1"/>
    <col min="14349" max="14349" width="14.7109375" style="4" customWidth="1"/>
    <col min="14350" max="14350" width="15.7109375" style="4" customWidth="1"/>
    <col min="14351" max="14351" width="15.42578125" style="4" customWidth="1"/>
    <col min="14352" max="14352" width="15.28515625" style="4" customWidth="1"/>
    <col min="14353" max="14353" width="15.140625" style="4" customWidth="1"/>
    <col min="14354" max="14354" width="15.28515625" style="4" customWidth="1"/>
    <col min="14355" max="14355" width="12.7109375" style="4" customWidth="1"/>
    <col min="14356" max="14356" width="15.28515625" style="4" customWidth="1"/>
    <col min="14357" max="14357" width="15.7109375" style="4" customWidth="1"/>
    <col min="14358" max="14358" width="14.42578125" style="4" customWidth="1"/>
    <col min="14359" max="14359" width="16" style="4" customWidth="1"/>
    <col min="14360" max="14360" width="15.28515625" style="4" customWidth="1"/>
    <col min="14361" max="14361" width="15.42578125" style="4" customWidth="1"/>
    <col min="14362" max="14362" width="14.28515625" style="4" customWidth="1"/>
    <col min="14363" max="14363" width="14.5703125" style="4" customWidth="1"/>
    <col min="14364" max="14592" width="16.85546875" style="4"/>
    <col min="14593" max="14593" width="28" style="4" customWidth="1"/>
    <col min="14594" max="14594" width="15.5703125" style="4" customWidth="1"/>
    <col min="14595" max="14595" width="48.5703125" style="4" customWidth="1"/>
    <col min="14596" max="14596" width="5.140625" style="4" customWidth="1"/>
    <col min="14597" max="14597" width="16.85546875" style="4"/>
    <col min="14598" max="14598" width="15" style="4" customWidth="1"/>
    <col min="14599" max="14599" width="14.5703125" style="4" customWidth="1"/>
    <col min="14600" max="14601" width="0" style="4" hidden="1" customWidth="1"/>
    <col min="14602" max="14602" width="13.28515625" style="4" customWidth="1"/>
    <col min="14603" max="14603" width="16.85546875" style="4"/>
    <col min="14604" max="14604" width="9.7109375" style="4" customWidth="1"/>
    <col min="14605" max="14605" width="14.7109375" style="4" customWidth="1"/>
    <col min="14606" max="14606" width="15.7109375" style="4" customWidth="1"/>
    <col min="14607" max="14607" width="15.42578125" style="4" customWidth="1"/>
    <col min="14608" max="14608" width="15.28515625" style="4" customWidth="1"/>
    <col min="14609" max="14609" width="15.140625" style="4" customWidth="1"/>
    <col min="14610" max="14610" width="15.28515625" style="4" customWidth="1"/>
    <col min="14611" max="14611" width="12.7109375" style="4" customWidth="1"/>
    <col min="14612" max="14612" width="15.28515625" style="4" customWidth="1"/>
    <col min="14613" max="14613" width="15.7109375" style="4" customWidth="1"/>
    <col min="14614" max="14614" width="14.42578125" style="4" customWidth="1"/>
    <col min="14615" max="14615" width="16" style="4" customWidth="1"/>
    <col min="14616" max="14616" width="15.28515625" style="4" customWidth="1"/>
    <col min="14617" max="14617" width="15.42578125" style="4" customWidth="1"/>
    <col min="14618" max="14618" width="14.28515625" style="4" customWidth="1"/>
    <col min="14619" max="14619" width="14.5703125" style="4" customWidth="1"/>
    <col min="14620" max="14848" width="16.85546875" style="4"/>
    <col min="14849" max="14849" width="28" style="4" customWidth="1"/>
    <col min="14850" max="14850" width="15.5703125" style="4" customWidth="1"/>
    <col min="14851" max="14851" width="48.5703125" style="4" customWidth="1"/>
    <col min="14852" max="14852" width="5.140625" style="4" customWidth="1"/>
    <col min="14853" max="14853" width="16.85546875" style="4"/>
    <col min="14854" max="14854" width="15" style="4" customWidth="1"/>
    <col min="14855" max="14855" width="14.5703125" style="4" customWidth="1"/>
    <col min="14856" max="14857" width="0" style="4" hidden="1" customWidth="1"/>
    <col min="14858" max="14858" width="13.28515625" style="4" customWidth="1"/>
    <col min="14859" max="14859" width="16.85546875" style="4"/>
    <col min="14860" max="14860" width="9.7109375" style="4" customWidth="1"/>
    <col min="14861" max="14861" width="14.7109375" style="4" customWidth="1"/>
    <col min="14862" max="14862" width="15.7109375" style="4" customWidth="1"/>
    <col min="14863" max="14863" width="15.42578125" style="4" customWidth="1"/>
    <col min="14864" max="14864" width="15.28515625" style="4" customWidth="1"/>
    <col min="14865" max="14865" width="15.140625" style="4" customWidth="1"/>
    <col min="14866" max="14866" width="15.28515625" style="4" customWidth="1"/>
    <col min="14867" max="14867" width="12.7109375" style="4" customWidth="1"/>
    <col min="14868" max="14868" width="15.28515625" style="4" customWidth="1"/>
    <col min="14869" max="14869" width="15.7109375" style="4" customWidth="1"/>
    <col min="14870" max="14870" width="14.42578125" style="4" customWidth="1"/>
    <col min="14871" max="14871" width="16" style="4" customWidth="1"/>
    <col min="14872" max="14872" width="15.28515625" style="4" customWidth="1"/>
    <col min="14873" max="14873" width="15.42578125" style="4" customWidth="1"/>
    <col min="14874" max="14874" width="14.28515625" style="4" customWidth="1"/>
    <col min="14875" max="14875" width="14.5703125" style="4" customWidth="1"/>
    <col min="14876" max="15104" width="16.85546875" style="4"/>
    <col min="15105" max="15105" width="28" style="4" customWidth="1"/>
    <col min="15106" max="15106" width="15.5703125" style="4" customWidth="1"/>
    <col min="15107" max="15107" width="48.5703125" style="4" customWidth="1"/>
    <col min="15108" max="15108" width="5.140625" style="4" customWidth="1"/>
    <col min="15109" max="15109" width="16.85546875" style="4"/>
    <col min="15110" max="15110" width="15" style="4" customWidth="1"/>
    <col min="15111" max="15111" width="14.5703125" style="4" customWidth="1"/>
    <col min="15112" max="15113" width="0" style="4" hidden="1" customWidth="1"/>
    <col min="15114" max="15114" width="13.28515625" style="4" customWidth="1"/>
    <col min="15115" max="15115" width="16.85546875" style="4"/>
    <col min="15116" max="15116" width="9.7109375" style="4" customWidth="1"/>
    <col min="15117" max="15117" width="14.7109375" style="4" customWidth="1"/>
    <col min="15118" max="15118" width="15.7109375" style="4" customWidth="1"/>
    <col min="15119" max="15119" width="15.42578125" style="4" customWidth="1"/>
    <col min="15120" max="15120" width="15.28515625" style="4" customWidth="1"/>
    <col min="15121" max="15121" width="15.140625" style="4" customWidth="1"/>
    <col min="15122" max="15122" width="15.28515625" style="4" customWidth="1"/>
    <col min="15123" max="15123" width="12.7109375" style="4" customWidth="1"/>
    <col min="15124" max="15124" width="15.28515625" style="4" customWidth="1"/>
    <col min="15125" max="15125" width="15.7109375" style="4" customWidth="1"/>
    <col min="15126" max="15126" width="14.42578125" style="4" customWidth="1"/>
    <col min="15127" max="15127" width="16" style="4" customWidth="1"/>
    <col min="15128" max="15128" width="15.28515625" style="4" customWidth="1"/>
    <col min="15129" max="15129" width="15.42578125" style="4" customWidth="1"/>
    <col min="15130" max="15130" width="14.28515625" style="4" customWidth="1"/>
    <col min="15131" max="15131" width="14.5703125" style="4" customWidth="1"/>
    <col min="15132" max="15360" width="16.85546875" style="4"/>
    <col min="15361" max="15361" width="28" style="4" customWidth="1"/>
    <col min="15362" max="15362" width="15.5703125" style="4" customWidth="1"/>
    <col min="15363" max="15363" width="48.5703125" style="4" customWidth="1"/>
    <col min="15364" max="15364" width="5.140625" style="4" customWidth="1"/>
    <col min="15365" max="15365" width="16.85546875" style="4"/>
    <col min="15366" max="15366" width="15" style="4" customWidth="1"/>
    <col min="15367" max="15367" width="14.5703125" style="4" customWidth="1"/>
    <col min="15368" max="15369" width="0" style="4" hidden="1" customWidth="1"/>
    <col min="15370" max="15370" width="13.28515625" style="4" customWidth="1"/>
    <col min="15371" max="15371" width="16.85546875" style="4"/>
    <col min="15372" max="15372" width="9.7109375" style="4" customWidth="1"/>
    <col min="15373" max="15373" width="14.7109375" style="4" customWidth="1"/>
    <col min="15374" max="15374" width="15.7109375" style="4" customWidth="1"/>
    <col min="15375" max="15375" width="15.42578125" style="4" customWidth="1"/>
    <col min="15376" max="15376" width="15.28515625" style="4" customWidth="1"/>
    <col min="15377" max="15377" width="15.140625" style="4" customWidth="1"/>
    <col min="15378" max="15378" width="15.28515625" style="4" customWidth="1"/>
    <col min="15379" max="15379" width="12.7109375" style="4" customWidth="1"/>
    <col min="15380" max="15380" width="15.28515625" style="4" customWidth="1"/>
    <col min="15381" max="15381" width="15.7109375" style="4" customWidth="1"/>
    <col min="15382" max="15382" width="14.42578125" style="4" customWidth="1"/>
    <col min="15383" max="15383" width="16" style="4" customWidth="1"/>
    <col min="15384" max="15384" width="15.28515625" style="4" customWidth="1"/>
    <col min="15385" max="15385" width="15.42578125" style="4" customWidth="1"/>
    <col min="15386" max="15386" width="14.28515625" style="4" customWidth="1"/>
    <col min="15387" max="15387" width="14.5703125" style="4" customWidth="1"/>
    <col min="15388" max="15616" width="16.85546875" style="4"/>
    <col min="15617" max="15617" width="28" style="4" customWidth="1"/>
    <col min="15618" max="15618" width="15.5703125" style="4" customWidth="1"/>
    <col min="15619" max="15619" width="48.5703125" style="4" customWidth="1"/>
    <col min="15620" max="15620" width="5.140625" style="4" customWidth="1"/>
    <col min="15621" max="15621" width="16.85546875" style="4"/>
    <col min="15622" max="15622" width="15" style="4" customWidth="1"/>
    <col min="15623" max="15623" width="14.5703125" style="4" customWidth="1"/>
    <col min="15624" max="15625" width="0" style="4" hidden="1" customWidth="1"/>
    <col min="15626" max="15626" width="13.28515625" style="4" customWidth="1"/>
    <col min="15627" max="15627" width="16.85546875" style="4"/>
    <col min="15628" max="15628" width="9.7109375" style="4" customWidth="1"/>
    <col min="15629" max="15629" width="14.7109375" style="4" customWidth="1"/>
    <col min="15630" max="15630" width="15.7109375" style="4" customWidth="1"/>
    <col min="15631" max="15631" width="15.42578125" style="4" customWidth="1"/>
    <col min="15632" max="15632" width="15.28515625" style="4" customWidth="1"/>
    <col min="15633" max="15633" width="15.140625" style="4" customWidth="1"/>
    <col min="15634" max="15634" width="15.28515625" style="4" customWidth="1"/>
    <col min="15635" max="15635" width="12.7109375" style="4" customWidth="1"/>
    <col min="15636" max="15636" width="15.28515625" style="4" customWidth="1"/>
    <col min="15637" max="15637" width="15.7109375" style="4" customWidth="1"/>
    <col min="15638" max="15638" width="14.42578125" style="4" customWidth="1"/>
    <col min="15639" max="15639" width="16" style="4" customWidth="1"/>
    <col min="15640" max="15640" width="15.28515625" style="4" customWidth="1"/>
    <col min="15641" max="15641" width="15.42578125" style="4" customWidth="1"/>
    <col min="15642" max="15642" width="14.28515625" style="4" customWidth="1"/>
    <col min="15643" max="15643" width="14.5703125" style="4" customWidth="1"/>
    <col min="15644" max="15872" width="16.85546875" style="4"/>
    <col min="15873" max="15873" width="28" style="4" customWidth="1"/>
    <col min="15874" max="15874" width="15.5703125" style="4" customWidth="1"/>
    <col min="15875" max="15875" width="48.5703125" style="4" customWidth="1"/>
    <col min="15876" max="15876" width="5.140625" style="4" customWidth="1"/>
    <col min="15877" max="15877" width="16.85546875" style="4"/>
    <col min="15878" max="15878" width="15" style="4" customWidth="1"/>
    <col min="15879" max="15879" width="14.5703125" style="4" customWidth="1"/>
    <col min="15880" max="15881" width="0" style="4" hidden="1" customWidth="1"/>
    <col min="15882" max="15882" width="13.28515625" style="4" customWidth="1"/>
    <col min="15883" max="15883" width="16.85546875" style="4"/>
    <col min="15884" max="15884" width="9.7109375" style="4" customWidth="1"/>
    <col min="15885" max="15885" width="14.7109375" style="4" customWidth="1"/>
    <col min="15886" max="15886" width="15.7109375" style="4" customWidth="1"/>
    <col min="15887" max="15887" width="15.42578125" style="4" customWidth="1"/>
    <col min="15888" max="15888" width="15.28515625" style="4" customWidth="1"/>
    <col min="15889" max="15889" width="15.140625" style="4" customWidth="1"/>
    <col min="15890" max="15890" width="15.28515625" style="4" customWidth="1"/>
    <col min="15891" max="15891" width="12.7109375" style="4" customWidth="1"/>
    <col min="15892" max="15892" width="15.28515625" style="4" customWidth="1"/>
    <col min="15893" max="15893" width="15.7109375" style="4" customWidth="1"/>
    <col min="15894" max="15894" width="14.42578125" style="4" customWidth="1"/>
    <col min="15895" max="15895" width="16" style="4" customWidth="1"/>
    <col min="15896" max="15896" width="15.28515625" style="4" customWidth="1"/>
    <col min="15897" max="15897" width="15.42578125" style="4" customWidth="1"/>
    <col min="15898" max="15898" width="14.28515625" style="4" customWidth="1"/>
    <col min="15899" max="15899" width="14.5703125" style="4" customWidth="1"/>
    <col min="15900" max="16128" width="16.85546875" style="4"/>
    <col min="16129" max="16129" width="28" style="4" customWidth="1"/>
    <col min="16130" max="16130" width="15.5703125" style="4" customWidth="1"/>
    <col min="16131" max="16131" width="48.5703125" style="4" customWidth="1"/>
    <col min="16132" max="16132" width="5.140625" style="4" customWidth="1"/>
    <col min="16133" max="16133" width="16.85546875" style="4"/>
    <col min="16134" max="16134" width="15" style="4" customWidth="1"/>
    <col min="16135" max="16135" width="14.5703125" style="4" customWidth="1"/>
    <col min="16136" max="16137" width="0" style="4" hidden="1" customWidth="1"/>
    <col min="16138" max="16138" width="13.28515625" style="4" customWidth="1"/>
    <col min="16139" max="16139" width="16.85546875" style="4"/>
    <col min="16140" max="16140" width="9.7109375" style="4" customWidth="1"/>
    <col min="16141" max="16141" width="14.7109375" style="4" customWidth="1"/>
    <col min="16142" max="16142" width="15.7109375" style="4" customWidth="1"/>
    <col min="16143" max="16143" width="15.42578125" style="4" customWidth="1"/>
    <col min="16144" max="16144" width="15.28515625" style="4" customWidth="1"/>
    <col min="16145" max="16145" width="15.140625" style="4" customWidth="1"/>
    <col min="16146" max="16146" width="15.28515625" style="4" customWidth="1"/>
    <col min="16147" max="16147" width="12.7109375" style="4" customWidth="1"/>
    <col min="16148" max="16148" width="15.28515625" style="4" customWidth="1"/>
    <col min="16149" max="16149" width="15.7109375" style="4" customWidth="1"/>
    <col min="16150" max="16150" width="14.42578125" style="4" customWidth="1"/>
    <col min="16151" max="16151" width="16" style="4" customWidth="1"/>
    <col min="16152" max="16152" width="15.28515625" style="4" customWidth="1"/>
    <col min="16153" max="16153" width="15.42578125" style="4" customWidth="1"/>
    <col min="16154" max="16154" width="14.28515625" style="4" customWidth="1"/>
    <col min="16155" max="16155" width="14.5703125" style="4" customWidth="1"/>
    <col min="16156" max="16384" width="16.85546875" style="4"/>
  </cols>
  <sheetData>
    <row r="1" spans="2:27" ht="14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2:27" x14ac:dyDescent="0.25">
      <c r="B2" s="5" t="s">
        <v>1</v>
      </c>
      <c r="C2" s="6"/>
      <c r="D2" s="6"/>
      <c r="E2" s="6"/>
      <c r="F2" s="6"/>
      <c r="G2" s="7"/>
      <c r="H2" s="8" t="s">
        <v>2</v>
      </c>
      <c r="I2" s="9"/>
      <c r="J2" s="10"/>
      <c r="K2" s="11" t="s">
        <v>3</v>
      </c>
      <c r="L2" s="12"/>
      <c r="M2" s="12"/>
      <c r="N2" s="13"/>
      <c r="O2" s="14"/>
      <c r="P2" s="15"/>
      <c r="Q2" s="12" t="s">
        <v>4</v>
      </c>
      <c r="R2" s="12"/>
      <c r="S2" s="12"/>
      <c r="T2" s="12"/>
      <c r="U2" s="12"/>
      <c r="V2" s="12"/>
      <c r="W2" s="12"/>
      <c r="X2" s="12"/>
      <c r="Y2" s="12"/>
      <c r="Z2" s="12"/>
      <c r="AA2" s="16"/>
    </row>
    <row r="3" spans="2:27" x14ac:dyDescent="0.25">
      <c r="B3" s="5" t="s">
        <v>5</v>
      </c>
      <c r="C3" s="6"/>
      <c r="D3" s="6"/>
      <c r="E3" s="6"/>
      <c r="F3" s="6"/>
      <c r="G3" s="7"/>
      <c r="H3" s="8" t="s">
        <v>6</v>
      </c>
      <c r="I3" s="9"/>
      <c r="J3" s="10"/>
      <c r="K3" s="11" t="s">
        <v>7</v>
      </c>
      <c r="L3" s="12"/>
      <c r="M3" s="12"/>
      <c r="N3" s="13"/>
      <c r="O3" s="14"/>
      <c r="P3" s="17"/>
      <c r="Q3" s="12"/>
      <c r="R3" s="12"/>
      <c r="S3" s="12"/>
      <c r="T3" s="12"/>
      <c r="U3" s="12"/>
      <c r="V3" s="12"/>
      <c r="W3" s="12"/>
      <c r="X3" s="12"/>
      <c r="Y3" s="12"/>
      <c r="Z3" s="12"/>
      <c r="AA3" s="16"/>
    </row>
    <row r="4" spans="2:27" ht="15.75" thickBot="1" x14ac:dyDescent="0.3">
      <c r="B4" s="18"/>
      <c r="C4" s="19"/>
      <c r="D4" s="20"/>
      <c r="E4" s="20"/>
      <c r="F4" s="20"/>
      <c r="G4" s="20"/>
      <c r="H4" s="20"/>
      <c r="I4" s="20"/>
      <c r="J4" s="20"/>
      <c r="K4" s="21"/>
      <c r="L4" s="22"/>
      <c r="M4" s="23"/>
      <c r="N4" s="20"/>
      <c r="O4" s="20"/>
      <c r="P4" s="20"/>
      <c r="Q4" s="20"/>
      <c r="R4" s="20"/>
      <c r="S4" s="24"/>
      <c r="T4" s="20"/>
      <c r="U4" s="20"/>
      <c r="V4" s="20"/>
      <c r="W4" s="20"/>
      <c r="X4" s="24"/>
      <c r="Y4" s="25" t="s">
        <v>8</v>
      </c>
      <c r="Z4" s="25"/>
      <c r="AA4" s="25"/>
    </row>
    <row r="5" spans="2:27" s="45" customFormat="1" ht="33" customHeight="1" thickBot="1" x14ac:dyDescent="0.3"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30"/>
      <c r="H5" s="30"/>
      <c r="I5" s="30"/>
      <c r="J5" s="31"/>
      <c r="K5" s="32" t="s">
        <v>14</v>
      </c>
      <c r="L5" s="33" t="s">
        <v>15</v>
      </c>
      <c r="M5" s="34" t="s">
        <v>16</v>
      </c>
      <c r="N5" s="35"/>
      <c r="O5" s="36"/>
      <c r="P5" s="37" t="s">
        <v>17</v>
      </c>
      <c r="Q5" s="38"/>
      <c r="R5" s="39"/>
      <c r="S5" s="40" t="s">
        <v>18</v>
      </c>
      <c r="T5" s="41" t="s">
        <v>19</v>
      </c>
      <c r="U5" s="38"/>
      <c r="V5" s="39"/>
      <c r="W5" s="41" t="s">
        <v>20</v>
      </c>
      <c r="X5" s="38"/>
      <c r="Y5" s="42"/>
      <c r="Z5" s="43" t="s">
        <v>21</v>
      </c>
      <c r="AA5" s="44" t="s">
        <v>22</v>
      </c>
    </row>
    <row r="6" spans="2:27" ht="26.25" customHeight="1" thickBot="1" x14ac:dyDescent="0.3">
      <c r="B6" s="46"/>
      <c r="C6" s="47"/>
      <c r="D6" s="48"/>
      <c r="E6" s="49"/>
      <c r="F6" s="43" t="s">
        <v>23</v>
      </c>
      <c r="G6" s="50" t="s">
        <v>24</v>
      </c>
      <c r="H6" s="51" t="s">
        <v>25</v>
      </c>
      <c r="I6" s="51" t="s">
        <v>26</v>
      </c>
      <c r="J6" s="51" t="s">
        <v>27</v>
      </c>
      <c r="K6" s="52"/>
      <c r="L6" s="53"/>
      <c r="M6" s="54" t="s">
        <v>28</v>
      </c>
      <c r="N6" s="55" t="s">
        <v>29</v>
      </c>
      <c r="O6" s="56" t="s">
        <v>30</v>
      </c>
      <c r="P6" s="57" t="s">
        <v>28</v>
      </c>
      <c r="Q6" s="58" t="s">
        <v>29</v>
      </c>
      <c r="R6" s="59" t="s">
        <v>30</v>
      </c>
      <c r="S6" s="60"/>
      <c r="T6" s="61" t="s">
        <v>28</v>
      </c>
      <c r="U6" s="58" t="s">
        <v>29</v>
      </c>
      <c r="V6" s="59" t="s">
        <v>30</v>
      </c>
      <c r="W6" s="61" t="s">
        <v>28</v>
      </c>
      <c r="X6" s="62" t="s">
        <v>29</v>
      </c>
      <c r="Y6" s="63" t="s">
        <v>30</v>
      </c>
      <c r="Z6" s="64"/>
      <c r="AA6" s="65"/>
    </row>
    <row r="7" spans="2:27" ht="12" customHeight="1" thickBot="1" x14ac:dyDescent="0.3">
      <c r="B7" s="66"/>
      <c r="C7" s="67"/>
      <c r="D7" s="68"/>
      <c r="E7" s="69">
        <v>1</v>
      </c>
      <c r="F7" s="70"/>
      <c r="G7" s="71"/>
      <c r="H7" s="72"/>
      <c r="I7" s="72"/>
      <c r="J7" s="73"/>
      <c r="K7" s="74" t="s">
        <v>31</v>
      </c>
      <c r="L7" s="75"/>
      <c r="M7" s="76">
        <v>8</v>
      </c>
      <c r="N7" s="77">
        <v>9</v>
      </c>
      <c r="O7" s="78">
        <v>10</v>
      </c>
      <c r="P7" s="79">
        <v>11</v>
      </c>
      <c r="Q7" s="80">
        <v>12</v>
      </c>
      <c r="R7" s="80">
        <v>13</v>
      </c>
      <c r="S7" s="80" t="s">
        <v>32</v>
      </c>
      <c r="T7" s="77">
        <v>15</v>
      </c>
      <c r="U7" s="77">
        <v>16</v>
      </c>
      <c r="V7" s="77">
        <v>17</v>
      </c>
      <c r="W7" s="77">
        <v>18</v>
      </c>
      <c r="X7" s="77">
        <v>19</v>
      </c>
      <c r="Y7" s="81">
        <v>20</v>
      </c>
      <c r="Z7" s="82" t="s">
        <v>33</v>
      </c>
      <c r="AA7" s="83" t="s">
        <v>34</v>
      </c>
    </row>
    <row r="8" spans="2:27" s="96" customFormat="1" x14ac:dyDescent="0.25">
      <c r="B8" s="84">
        <v>2</v>
      </c>
      <c r="C8" s="85" t="s">
        <v>35</v>
      </c>
      <c r="D8" s="86"/>
      <c r="E8" s="87">
        <f t="shared" ref="E8:K8" si="0">+E9</f>
        <v>1567958428</v>
      </c>
      <c r="F8" s="87">
        <f t="shared" si="0"/>
        <v>270394076.5</v>
      </c>
      <c r="G8" s="87">
        <f t="shared" si="0"/>
        <v>270394077.10000002</v>
      </c>
      <c r="H8" s="87">
        <f t="shared" si="0"/>
        <v>0</v>
      </c>
      <c r="I8" s="87">
        <f t="shared" si="0"/>
        <v>0</v>
      </c>
      <c r="J8" s="87">
        <f t="shared" si="0"/>
        <v>432768915</v>
      </c>
      <c r="K8" s="88">
        <f t="shared" si="0"/>
        <v>2031227342.4000001</v>
      </c>
      <c r="L8" s="89"/>
      <c r="M8" s="88">
        <f>M9</f>
        <v>1532252240</v>
      </c>
      <c r="N8" s="88">
        <f>N9</f>
        <v>464949036.5</v>
      </c>
      <c r="O8" s="88">
        <f>+M8+N8</f>
        <v>1997201276.5</v>
      </c>
      <c r="P8" s="88">
        <f>P9</f>
        <v>1522998887</v>
      </c>
      <c r="Q8" s="88">
        <f>Q9</f>
        <v>474202389.5</v>
      </c>
      <c r="R8" s="88">
        <f>+P8+Q8</f>
        <v>1997201276.5</v>
      </c>
      <c r="S8" s="90">
        <f t="shared" ref="S8:S41" si="1">+K8-R8</f>
        <v>34026065.900000095</v>
      </c>
      <c r="T8" s="88">
        <f>T9</f>
        <v>1405464215</v>
      </c>
      <c r="U8" s="88">
        <f>U9</f>
        <v>539645812.5</v>
      </c>
      <c r="V8" s="91">
        <f>+T8+U8</f>
        <v>1945110027.5</v>
      </c>
      <c r="W8" s="92">
        <f>W9+W245+W253</f>
        <v>1405464215</v>
      </c>
      <c r="X8" s="88">
        <f>X9</f>
        <v>466957879.5</v>
      </c>
      <c r="Y8" s="93">
        <f>+W8+X8</f>
        <v>1872422094.5</v>
      </c>
      <c r="Z8" s="94">
        <f>Z9</f>
        <v>72687933</v>
      </c>
      <c r="AA8" s="95">
        <f>AA9</f>
        <v>52091249</v>
      </c>
    </row>
    <row r="9" spans="2:27" s="96" customFormat="1" x14ac:dyDescent="0.25">
      <c r="B9" s="97">
        <v>2.1</v>
      </c>
      <c r="C9" s="98" t="s">
        <v>36</v>
      </c>
      <c r="D9" s="99"/>
      <c r="E9" s="100">
        <f>E10</f>
        <v>1567958428</v>
      </c>
      <c r="F9" s="100">
        <f>F10+F39+F243</f>
        <v>270394076.5</v>
      </c>
      <c r="G9" s="100">
        <f>G10+G39+G243</f>
        <v>270394077.10000002</v>
      </c>
      <c r="H9" s="100">
        <f>+H10+H39+H243</f>
        <v>0</v>
      </c>
      <c r="I9" s="100">
        <f>+I10+I39+I243</f>
        <v>0</v>
      </c>
      <c r="J9" s="100">
        <f>J10+J39+J243</f>
        <v>432768915</v>
      </c>
      <c r="K9" s="100">
        <f>K10</f>
        <v>2031227342.4000001</v>
      </c>
      <c r="L9" s="101"/>
      <c r="M9" s="100">
        <f>M10+M42+M60+M131+M156+M164+M172+M180+M214+M220+M227+M232+M238+M245+M253</f>
        <v>1532252240</v>
      </c>
      <c r="N9" s="100">
        <f>N10+N42+N60+N131+N156+N164+N172+N180+N214+N220+N227+N232+N238+N245+N253+N255</f>
        <v>464949036.5</v>
      </c>
      <c r="O9" s="100">
        <f>+M9+N9</f>
        <v>1997201276.5</v>
      </c>
      <c r="P9" s="100">
        <f>P10+P42+P60+P131+P156+P164+P172+P180+P214+P220+P227+P232+P238+P245+P253+P255</f>
        <v>1522998887</v>
      </c>
      <c r="Q9" s="100">
        <f>Q10+Q42+Q60+Q131+Q156+Q164+Q172+Q180+Q214+Q220+Q227+Q232+Q238+Q245+Q253+Q255</f>
        <v>474202389.5</v>
      </c>
      <c r="R9" s="100">
        <f>+P9+Q9</f>
        <v>1997201276.5</v>
      </c>
      <c r="S9" s="102">
        <f t="shared" si="1"/>
        <v>34026065.900000095</v>
      </c>
      <c r="T9" s="100">
        <f>T10+T42+T60+T131+T156+T164+T172+T180+T214+T220+T227+T232+T238+T245+T253+T255</f>
        <v>1405464215</v>
      </c>
      <c r="U9" s="100">
        <f>U10+U42+U60+U131+U156+U164+U172+U180+U214+U220+U227+U232+U238+U245+U253+U255</f>
        <v>539645812.5</v>
      </c>
      <c r="V9" s="103">
        <f>+T9+U9</f>
        <v>1945110027.5</v>
      </c>
      <c r="W9" s="104">
        <f>W10+W42+W60+W131+W156+W164+W172+W180+W214+W220+W227+W232+W238</f>
        <v>1405464215</v>
      </c>
      <c r="X9" s="100">
        <f>X10+X42+X60+X131+X156+X164+X172+X180+X214+X220+X227+X232+X238+X245+X253+X255</f>
        <v>466957879.5</v>
      </c>
      <c r="Y9" s="105">
        <f>+W9+X9</f>
        <v>1872422094.5</v>
      </c>
      <c r="Z9" s="106">
        <f>Z10+Z39+Z155+Z243</f>
        <v>72687933</v>
      </c>
      <c r="AA9" s="107">
        <f>AA10+AA39+AA155+AA243</f>
        <v>52091249</v>
      </c>
    </row>
    <row r="10" spans="2:27" s="96" customFormat="1" x14ac:dyDescent="0.25">
      <c r="B10" s="97" t="s">
        <v>37</v>
      </c>
      <c r="C10" s="98" t="s">
        <v>38</v>
      </c>
      <c r="D10" s="108"/>
      <c r="E10" s="100">
        <f>E13+E19+E23+E34+E40+E243</f>
        <v>1567958428</v>
      </c>
      <c r="F10" s="100">
        <f>+F11</f>
        <v>54208429</v>
      </c>
      <c r="G10" s="100">
        <f>+G11</f>
        <v>162769221.46000001</v>
      </c>
      <c r="H10" s="100">
        <f>+H11</f>
        <v>0</v>
      </c>
      <c r="I10" s="100">
        <f>+I11</f>
        <v>0</v>
      </c>
      <c r="J10" s="100">
        <f>+J11</f>
        <v>200268915</v>
      </c>
      <c r="K10" s="100">
        <f>K13+K19+K23+K34+K40+K243</f>
        <v>2031227342.4000001</v>
      </c>
      <c r="L10" s="101"/>
      <c r="M10" s="100">
        <f>M11</f>
        <v>1054744730</v>
      </c>
      <c r="N10" s="100">
        <f>N11</f>
        <v>243121821</v>
      </c>
      <c r="O10" s="100">
        <f>+M10+N10</f>
        <v>1297866551</v>
      </c>
      <c r="P10" s="100">
        <f>P11</f>
        <v>1054744730</v>
      </c>
      <c r="Q10" s="100">
        <f>Q11</f>
        <v>243121821</v>
      </c>
      <c r="R10" s="100">
        <f>+P10+Q10</f>
        <v>1297866551</v>
      </c>
      <c r="S10" s="102">
        <f t="shared" si="1"/>
        <v>733360791.4000001</v>
      </c>
      <c r="T10" s="100">
        <f>T11</f>
        <v>1054744730</v>
      </c>
      <c r="U10" s="100">
        <f>U11</f>
        <v>243121821</v>
      </c>
      <c r="V10" s="103">
        <f>+T10+U10</f>
        <v>1297866551</v>
      </c>
      <c r="W10" s="100">
        <f>W11</f>
        <v>1054744730</v>
      </c>
      <c r="X10" s="100">
        <f>X11</f>
        <v>218573888</v>
      </c>
      <c r="Y10" s="105">
        <f>+W10+X10</f>
        <v>1273318618</v>
      </c>
      <c r="Z10" s="106">
        <f>Z11</f>
        <v>24547933</v>
      </c>
      <c r="AA10" s="107">
        <f>AA11</f>
        <v>0</v>
      </c>
    </row>
    <row r="11" spans="2:27" s="96" customFormat="1" x14ac:dyDescent="0.25">
      <c r="B11" s="109" t="s">
        <v>39</v>
      </c>
      <c r="C11" s="110" t="s">
        <v>40</v>
      </c>
      <c r="D11" s="111"/>
      <c r="E11" s="112">
        <f>+E12+E23+E34</f>
        <v>1175658428</v>
      </c>
      <c r="F11" s="112">
        <f>F12</f>
        <v>54208429</v>
      </c>
      <c r="G11" s="112">
        <f>G12</f>
        <v>162769221.46000001</v>
      </c>
      <c r="H11" s="112">
        <f>+H12+H23+H34</f>
        <v>0</v>
      </c>
      <c r="I11" s="112">
        <f>+I12+I23+I34</f>
        <v>0</v>
      </c>
      <c r="J11" s="112">
        <f>J12</f>
        <v>200268915</v>
      </c>
      <c r="K11" s="112">
        <f>+K12+K23+K34</f>
        <v>1635874790.0799999</v>
      </c>
      <c r="L11" s="113"/>
      <c r="M11" s="112">
        <f>M12+M35</f>
        <v>1054744730</v>
      </c>
      <c r="N11" s="112">
        <f>N12+N35</f>
        <v>243121821</v>
      </c>
      <c r="O11" s="112">
        <f>+M11+N11</f>
        <v>1297866551</v>
      </c>
      <c r="P11" s="112">
        <f>P12+P35</f>
        <v>1054744730</v>
      </c>
      <c r="Q11" s="112">
        <f>Q12+Q35</f>
        <v>243121821</v>
      </c>
      <c r="R11" s="112">
        <f>+P11+Q11</f>
        <v>1297866551</v>
      </c>
      <c r="S11" s="114">
        <f t="shared" si="1"/>
        <v>338008239.07999992</v>
      </c>
      <c r="T11" s="112">
        <f>T12+T35</f>
        <v>1054744730</v>
      </c>
      <c r="U11" s="112">
        <f>U12+U35</f>
        <v>243121821</v>
      </c>
      <c r="V11" s="115">
        <f>+T11+U11</f>
        <v>1297866551</v>
      </c>
      <c r="W11" s="112">
        <f>W12+W35</f>
        <v>1054744730</v>
      </c>
      <c r="X11" s="112">
        <f>X12+X35</f>
        <v>218573888</v>
      </c>
      <c r="Y11" s="116">
        <f>+W11+X11</f>
        <v>1273318618</v>
      </c>
      <c r="Z11" s="117">
        <f>Z12+Z34</f>
        <v>24547933</v>
      </c>
      <c r="AA11" s="118">
        <f>AA12+AA34</f>
        <v>0</v>
      </c>
    </row>
    <row r="12" spans="2:27" s="96" customFormat="1" ht="27" customHeight="1" x14ac:dyDescent="0.25">
      <c r="B12" s="109" t="s">
        <v>41</v>
      </c>
      <c r="C12" s="110" t="s">
        <v>42</v>
      </c>
      <c r="D12" s="111"/>
      <c r="E12" s="112">
        <f t="shared" ref="E12:J12" si="2">+E13+E19</f>
        <v>799128428</v>
      </c>
      <c r="F12" s="112">
        <f>F13+F19+F23+F34</f>
        <v>54208429</v>
      </c>
      <c r="G12" s="112">
        <f>G13+G19+G23+G34</f>
        <v>162769221.46000001</v>
      </c>
      <c r="H12" s="112">
        <f t="shared" si="2"/>
        <v>0</v>
      </c>
      <c r="I12" s="112">
        <f t="shared" si="2"/>
        <v>0</v>
      </c>
      <c r="J12" s="112">
        <f t="shared" si="2"/>
        <v>200268915</v>
      </c>
      <c r="K12" s="112">
        <f>+K13+K19+K23</f>
        <v>1236341363.54</v>
      </c>
      <c r="L12" s="113"/>
      <c r="M12" s="112">
        <f>M13+M19+M23</f>
        <v>1009653331</v>
      </c>
      <c r="N12" s="112">
        <f>N13+N19+N23</f>
        <v>226688033</v>
      </c>
      <c r="O12" s="112">
        <f>+M12+N12</f>
        <v>1236341364</v>
      </c>
      <c r="P12" s="112">
        <f>P13+P19+P23</f>
        <v>1009653331</v>
      </c>
      <c r="Q12" s="112">
        <f>Q13+Q19+Q23</f>
        <v>226688033</v>
      </c>
      <c r="R12" s="112">
        <f>+P12+Q12</f>
        <v>1236341364</v>
      </c>
      <c r="S12" s="114">
        <f>+K12-R12</f>
        <v>-0.46000003814697266</v>
      </c>
      <c r="T12" s="112">
        <f>T13+T19+T23</f>
        <v>1009653331</v>
      </c>
      <c r="U12" s="112">
        <f>U13+U19+U23</f>
        <v>226688033</v>
      </c>
      <c r="V12" s="115">
        <f>+T12+U12</f>
        <v>1236341364</v>
      </c>
      <c r="W12" s="112">
        <f>W13+W19+W23</f>
        <v>1009653331</v>
      </c>
      <c r="X12" s="112">
        <f>X13+X19+X23</f>
        <v>202140100</v>
      </c>
      <c r="Y12" s="116">
        <f>+W12+X12</f>
        <v>1211793431</v>
      </c>
      <c r="Z12" s="117">
        <f>Z13+Z19+Z23</f>
        <v>24547933</v>
      </c>
      <c r="AA12" s="118">
        <f>AA13+AA19+AA23</f>
        <v>0</v>
      </c>
    </row>
    <row r="13" spans="2:27" s="96" customFormat="1" x14ac:dyDescent="0.25">
      <c r="B13" s="119" t="s">
        <v>43</v>
      </c>
      <c r="C13" s="120" t="s">
        <v>44</v>
      </c>
      <c r="D13" s="121"/>
      <c r="E13" s="122">
        <f>SUM(E14:E18)</f>
        <v>707828428</v>
      </c>
      <c r="F13" s="122">
        <f>SUM(F14:F18)</f>
        <v>3083135</v>
      </c>
      <c r="G13" s="122">
        <f>SUM(G14:G18)</f>
        <v>120491029</v>
      </c>
      <c r="H13" s="122">
        <f>H14+H16+H17+H18</f>
        <v>0</v>
      </c>
      <c r="I13" s="122">
        <f>I14+I16+I17+I18</f>
        <v>0</v>
      </c>
      <c r="J13" s="122">
        <f>J14+J16+J17+J18+J15</f>
        <v>200268915</v>
      </c>
      <c r="K13" s="122">
        <f t="shared" ref="K13:K21" si="3">E13+F13-G13-I13+J13</f>
        <v>790689449</v>
      </c>
      <c r="L13" s="123"/>
      <c r="M13" s="122">
        <f>SUM(M14:M18)</f>
        <v>755779620</v>
      </c>
      <c r="N13" s="122">
        <f>SUM(N14:N18)</f>
        <v>34909829</v>
      </c>
      <c r="O13" s="122">
        <f>M13+N13</f>
        <v>790689449</v>
      </c>
      <c r="P13" s="122">
        <f>SUM(P14:P18)</f>
        <v>755779620</v>
      </c>
      <c r="Q13" s="122">
        <f>SUM(Q14:Q18)</f>
        <v>34909829</v>
      </c>
      <c r="R13" s="122">
        <f>P13+Q13</f>
        <v>790689449</v>
      </c>
      <c r="S13" s="124">
        <f>SUM(S14:S18)</f>
        <v>0</v>
      </c>
      <c r="T13" s="125">
        <f>SUM(T14:T18)</f>
        <v>755779620</v>
      </c>
      <c r="U13" s="122">
        <f>SUM(U14:U18)</f>
        <v>34909829</v>
      </c>
      <c r="V13" s="126">
        <f>T13+U13</f>
        <v>790689449</v>
      </c>
      <c r="W13" s="125">
        <f>SUM(W14:W18)</f>
        <v>755779620</v>
      </c>
      <c r="X13" s="122">
        <f>SUM(X14:X18)</f>
        <v>34909829</v>
      </c>
      <c r="Y13" s="127">
        <f>W13+X13</f>
        <v>790689449</v>
      </c>
      <c r="Z13" s="128">
        <f>SUM(Z14:Z18)</f>
        <v>0</v>
      </c>
      <c r="AA13" s="129">
        <f>SUM(AA14:AA18)</f>
        <v>0</v>
      </c>
    </row>
    <row r="14" spans="2:27" ht="19.5" customHeight="1" x14ac:dyDescent="0.25">
      <c r="B14" s="130" t="s">
        <v>45</v>
      </c>
      <c r="C14" s="131" t="s">
        <v>46</v>
      </c>
      <c r="D14" s="131">
        <v>1</v>
      </c>
      <c r="E14" s="132">
        <v>652828428</v>
      </c>
      <c r="F14" s="132">
        <v>0</v>
      </c>
      <c r="G14" s="132">
        <f>50866153+15312472</f>
        <v>66178625</v>
      </c>
      <c r="H14" s="133">
        <v>0</v>
      </c>
      <c r="I14" s="132">
        <v>0</v>
      </c>
      <c r="J14" s="132">
        <v>50000000</v>
      </c>
      <c r="K14" s="132">
        <f t="shared" si="3"/>
        <v>636649803</v>
      </c>
      <c r="L14" s="134" t="s">
        <v>47</v>
      </c>
      <c r="M14" s="135">
        <v>614351802</v>
      </c>
      <c r="N14" s="132">
        <v>22298001</v>
      </c>
      <c r="O14" s="136">
        <f>+M14+N14</f>
        <v>636649803</v>
      </c>
      <c r="P14" s="137">
        <v>614351802</v>
      </c>
      <c r="Q14" s="132">
        <v>22298001</v>
      </c>
      <c r="R14" s="138">
        <f t="shared" ref="R14:R33" si="4">+P14+Q14</f>
        <v>636649803</v>
      </c>
      <c r="S14" s="139">
        <f>+K14-R14</f>
        <v>0</v>
      </c>
      <c r="T14" s="135">
        <v>614351802</v>
      </c>
      <c r="U14" s="132">
        <v>22298001</v>
      </c>
      <c r="V14" s="136">
        <f>+T14+U14</f>
        <v>636649803</v>
      </c>
      <c r="W14" s="137">
        <v>614351802</v>
      </c>
      <c r="X14" s="132">
        <v>22298001</v>
      </c>
      <c r="Y14" s="138">
        <f t="shared" ref="Y14:Y245" si="5">+W14+X14</f>
        <v>636649803</v>
      </c>
      <c r="Z14" s="140">
        <f>+U14-X14</f>
        <v>0</v>
      </c>
      <c r="AA14" s="141">
        <f>+V14-Y14</f>
        <v>0</v>
      </c>
    </row>
    <row r="15" spans="2:27" s="142" customFormat="1" ht="21" customHeight="1" x14ac:dyDescent="0.25">
      <c r="B15" s="130" t="s">
        <v>45</v>
      </c>
      <c r="C15" s="131" t="s">
        <v>46</v>
      </c>
      <c r="D15" s="131">
        <v>45</v>
      </c>
      <c r="E15" s="132"/>
      <c r="F15" s="132"/>
      <c r="G15" s="132">
        <f>52000000+1545818</f>
        <v>53545818</v>
      </c>
      <c r="H15" s="133"/>
      <c r="I15" s="132"/>
      <c r="J15" s="132">
        <v>150268915</v>
      </c>
      <c r="K15" s="132">
        <f>E15+F15-G15-I15+J15</f>
        <v>96723097</v>
      </c>
      <c r="L15" s="134" t="s">
        <v>47</v>
      </c>
      <c r="M15" s="135">
        <v>86868495</v>
      </c>
      <c r="N15" s="132">
        <v>9854602</v>
      </c>
      <c r="O15" s="136">
        <f>+M15+N15</f>
        <v>96723097</v>
      </c>
      <c r="P15" s="137">
        <v>86868495</v>
      </c>
      <c r="Q15" s="132">
        <v>9854602</v>
      </c>
      <c r="R15" s="138">
        <f t="shared" si="4"/>
        <v>96723097</v>
      </c>
      <c r="S15" s="139">
        <f>+K15-R15</f>
        <v>0</v>
      </c>
      <c r="T15" s="135">
        <v>86868495</v>
      </c>
      <c r="U15" s="132">
        <v>9854602</v>
      </c>
      <c r="V15" s="136">
        <f>+T15+U15</f>
        <v>96723097</v>
      </c>
      <c r="W15" s="137">
        <v>86868495</v>
      </c>
      <c r="X15" s="132">
        <v>9854602</v>
      </c>
      <c r="Y15" s="138">
        <f t="shared" si="5"/>
        <v>96723097</v>
      </c>
      <c r="Z15" s="140"/>
      <c r="AA15" s="141"/>
    </row>
    <row r="16" spans="2:27" ht="16.5" customHeight="1" x14ac:dyDescent="0.25">
      <c r="B16" s="130" t="s">
        <v>48</v>
      </c>
      <c r="C16" s="131" t="s">
        <v>49</v>
      </c>
      <c r="D16" s="131">
        <v>1</v>
      </c>
      <c r="E16" s="132">
        <v>1500000</v>
      </c>
      <c r="F16" s="132">
        <v>163838</v>
      </c>
      <c r="G16" s="132">
        <v>0</v>
      </c>
      <c r="H16" s="133">
        <v>0</v>
      </c>
      <c r="I16" s="132">
        <v>0</v>
      </c>
      <c r="J16" s="132">
        <v>0</v>
      </c>
      <c r="K16" s="132">
        <f t="shared" si="3"/>
        <v>1663838</v>
      </c>
      <c r="L16" s="134" t="s">
        <v>47</v>
      </c>
      <c r="M16" s="135">
        <v>1523232</v>
      </c>
      <c r="N16" s="132">
        <v>140606</v>
      </c>
      <c r="O16" s="136">
        <f>+M16+N16</f>
        <v>1663838</v>
      </c>
      <c r="P16" s="137">
        <v>1523232</v>
      </c>
      <c r="Q16" s="132">
        <v>140606</v>
      </c>
      <c r="R16" s="138">
        <f t="shared" si="4"/>
        <v>1663838</v>
      </c>
      <c r="S16" s="139">
        <f>+K16-R16</f>
        <v>0</v>
      </c>
      <c r="T16" s="135">
        <v>1523232</v>
      </c>
      <c r="U16" s="132">
        <v>140606</v>
      </c>
      <c r="V16" s="136">
        <f>+T16+U16</f>
        <v>1663838</v>
      </c>
      <c r="W16" s="137">
        <v>1523232</v>
      </c>
      <c r="X16" s="132">
        <v>140606</v>
      </c>
      <c r="Y16" s="138">
        <f t="shared" si="5"/>
        <v>1663838</v>
      </c>
      <c r="Z16" s="140">
        <f t="shared" ref="Z16:AA25" si="6">+U16-X16</f>
        <v>0</v>
      </c>
      <c r="AA16" s="141">
        <f t="shared" si="6"/>
        <v>0</v>
      </c>
    </row>
    <row r="17" spans="2:27" ht="18.75" customHeight="1" x14ac:dyDescent="0.25">
      <c r="B17" s="130" t="s">
        <v>50</v>
      </c>
      <c r="C17" s="131" t="s">
        <v>51</v>
      </c>
      <c r="D17" s="131">
        <v>1</v>
      </c>
      <c r="E17" s="132">
        <v>33000000</v>
      </c>
      <c r="F17" s="132">
        <v>796346</v>
      </c>
      <c r="G17" s="132">
        <v>766586</v>
      </c>
      <c r="H17" s="133">
        <v>0</v>
      </c>
      <c r="I17" s="132">
        <v>0</v>
      </c>
      <c r="J17" s="132">
        <v>0</v>
      </c>
      <c r="K17" s="132">
        <f t="shared" si="3"/>
        <v>33029760</v>
      </c>
      <c r="L17" s="134" t="s">
        <v>47</v>
      </c>
      <c r="M17" s="135">
        <v>32233414</v>
      </c>
      <c r="N17" s="132">
        <f>796346</f>
        <v>796346</v>
      </c>
      <c r="O17" s="136">
        <f>+M17+N17</f>
        <v>33029760</v>
      </c>
      <c r="P17" s="137">
        <v>32233414</v>
      </c>
      <c r="Q17" s="132">
        <f>796346</f>
        <v>796346</v>
      </c>
      <c r="R17" s="138">
        <f t="shared" si="4"/>
        <v>33029760</v>
      </c>
      <c r="S17" s="139">
        <f>+K17-R17</f>
        <v>0</v>
      </c>
      <c r="T17" s="135">
        <v>32233414</v>
      </c>
      <c r="U17" s="132">
        <v>796346</v>
      </c>
      <c r="V17" s="136">
        <f>+T17+U17</f>
        <v>33029760</v>
      </c>
      <c r="W17" s="137">
        <v>32233414</v>
      </c>
      <c r="X17" s="132">
        <v>796346</v>
      </c>
      <c r="Y17" s="138">
        <f t="shared" si="5"/>
        <v>33029760</v>
      </c>
      <c r="Z17" s="140">
        <f t="shared" si="6"/>
        <v>0</v>
      </c>
      <c r="AA17" s="141">
        <f t="shared" si="6"/>
        <v>0</v>
      </c>
    </row>
    <row r="18" spans="2:27" ht="19.5" customHeight="1" x14ac:dyDescent="0.25">
      <c r="B18" s="130" t="s">
        <v>52</v>
      </c>
      <c r="C18" s="131" t="s">
        <v>53</v>
      </c>
      <c r="D18" s="131">
        <v>1</v>
      </c>
      <c r="E18" s="132">
        <v>20500000</v>
      </c>
      <c r="F18" s="132">
        <f>1486924+636027</f>
        <v>2122951</v>
      </c>
      <c r="G18" s="132">
        <v>0</v>
      </c>
      <c r="H18" s="133">
        <v>0</v>
      </c>
      <c r="I18" s="132">
        <v>0</v>
      </c>
      <c r="J18" s="132">
        <v>0</v>
      </c>
      <c r="K18" s="132">
        <f t="shared" si="3"/>
        <v>22622951</v>
      </c>
      <c r="L18" s="134" t="s">
        <v>47</v>
      </c>
      <c r="M18" s="135">
        <v>20802677</v>
      </c>
      <c r="N18" s="132">
        <f>1184247+636027</f>
        <v>1820274</v>
      </c>
      <c r="O18" s="136">
        <f>+M18+N18</f>
        <v>22622951</v>
      </c>
      <c r="P18" s="137">
        <v>20802677</v>
      </c>
      <c r="Q18" s="132">
        <f>1184247+636027</f>
        <v>1820274</v>
      </c>
      <c r="R18" s="138">
        <f t="shared" si="4"/>
        <v>22622951</v>
      </c>
      <c r="S18" s="139">
        <f>+K18-R18</f>
        <v>0</v>
      </c>
      <c r="T18" s="135">
        <v>20802677</v>
      </c>
      <c r="U18" s="132">
        <v>1820274</v>
      </c>
      <c r="V18" s="136">
        <f>+T18+U18</f>
        <v>22622951</v>
      </c>
      <c r="W18" s="137">
        <v>20802677</v>
      </c>
      <c r="X18" s="132">
        <v>1820274</v>
      </c>
      <c r="Y18" s="138">
        <f t="shared" si="5"/>
        <v>22622951</v>
      </c>
      <c r="Z18" s="140">
        <f t="shared" si="6"/>
        <v>0</v>
      </c>
      <c r="AA18" s="141">
        <f t="shared" si="6"/>
        <v>0</v>
      </c>
    </row>
    <row r="19" spans="2:27" s="96" customFormat="1" ht="21.75" customHeight="1" x14ac:dyDescent="0.25">
      <c r="B19" s="119" t="s">
        <v>54</v>
      </c>
      <c r="C19" s="121" t="s">
        <v>55</v>
      </c>
      <c r="D19" s="121"/>
      <c r="E19" s="122">
        <f>+E20+E22</f>
        <v>91300000</v>
      </c>
      <c r="F19" s="122">
        <f>SUM(F20:F22)</f>
        <v>16343675</v>
      </c>
      <c r="G19" s="122">
        <f>+G20+G22</f>
        <v>0</v>
      </c>
      <c r="H19" s="122">
        <f>+H20+H22</f>
        <v>0</v>
      </c>
      <c r="I19" s="122">
        <f>+I20+I22</f>
        <v>0</v>
      </c>
      <c r="J19" s="122"/>
      <c r="K19" s="122">
        <f t="shared" si="3"/>
        <v>107643675</v>
      </c>
      <c r="L19" s="123"/>
      <c r="M19" s="143">
        <f>SUM(M20:M22)</f>
        <v>31880886</v>
      </c>
      <c r="N19" s="122">
        <f>SUM(N20:N22)</f>
        <v>75762789</v>
      </c>
      <c r="O19" s="126">
        <f>+N19+M19</f>
        <v>107643675</v>
      </c>
      <c r="P19" s="144">
        <f>SUM(P20:P22)</f>
        <v>31880886</v>
      </c>
      <c r="Q19" s="122">
        <f>SUM(Q20:Q22)</f>
        <v>75762789</v>
      </c>
      <c r="R19" s="127">
        <f t="shared" si="4"/>
        <v>107643675</v>
      </c>
      <c r="S19" s="145">
        <f t="shared" si="1"/>
        <v>0</v>
      </c>
      <c r="T19" s="125">
        <f>SUM(T20:T22)</f>
        <v>31880886</v>
      </c>
      <c r="U19" s="122">
        <f>SUM(U20:U22)</f>
        <v>75762789</v>
      </c>
      <c r="V19" s="126">
        <f>T19+U19</f>
        <v>107643675</v>
      </c>
      <c r="W19" s="144">
        <f>SUM(W20:W22)</f>
        <v>31880886</v>
      </c>
      <c r="X19" s="122">
        <f>SUM(X20:X22)</f>
        <v>75762789</v>
      </c>
      <c r="Y19" s="127">
        <f>W19+X19</f>
        <v>107643675</v>
      </c>
      <c r="Z19" s="128">
        <f>SUM(Z20:Z22)</f>
        <v>0</v>
      </c>
      <c r="AA19" s="129">
        <f t="shared" si="6"/>
        <v>0</v>
      </c>
    </row>
    <row r="20" spans="2:27" x14ac:dyDescent="0.25">
      <c r="B20" s="146" t="s">
        <v>56</v>
      </c>
      <c r="C20" s="131" t="s">
        <v>57</v>
      </c>
      <c r="D20" s="131">
        <v>1</v>
      </c>
      <c r="E20" s="132">
        <v>61600000</v>
      </c>
      <c r="F20" s="132">
        <v>5781412</v>
      </c>
      <c r="G20" s="132">
        <v>0</v>
      </c>
      <c r="H20" s="147">
        <f>+H22+H23</f>
        <v>0</v>
      </c>
      <c r="I20" s="132">
        <v>0</v>
      </c>
      <c r="J20" s="132">
        <v>0</v>
      </c>
      <c r="K20" s="132">
        <f t="shared" si="3"/>
        <v>67381412</v>
      </c>
      <c r="L20" s="134" t="s">
        <v>47</v>
      </c>
      <c r="M20" s="135">
        <v>4963364</v>
      </c>
      <c r="N20" s="132">
        <v>62418048</v>
      </c>
      <c r="O20" s="136">
        <f>+M20+N20</f>
        <v>67381412</v>
      </c>
      <c r="P20" s="137">
        <v>4963364</v>
      </c>
      <c r="Q20" s="132">
        <v>62418048</v>
      </c>
      <c r="R20" s="138">
        <f>+P20+Q20</f>
        <v>67381412</v>
      </c>
      <c r="S20" s="139">
        <f t="shared" si="1"/>
        <v>0</v>
      </c>
      <c r="T20" s="135">
        <v>4963364</v>
      </c>
      <c r="U20" s="132">
        <v>62418048</v>
      </c>
      <c r="V20" s="136">
        <f>+T20+U20</f>
        <v>67381412</v>
      </c>
      <c r="W20" s="137">
        <v>4963364</v>
      </c>
      <c r="X20" s="132">
        <v>62418048</v>
      </c>
      <c r="Y20" s="138">
        <f t="shared" si="5"/>
        <v>67381412</v>
      </c>
      <c r="Z20" s="140">
        <f t="shared" si="6"/>
        <v>0</v>
      </c>
      <c r="AA20" s="141">
        <f t="shared" si="6"/>
        <v>0</v>
      </c>
    </row>
    <row r="21" spans="2:27" x14ac:dyDescent="0.25">
      <c r="B21" s="146" t="s">
        <v>56</v>
      </c>
      <c r="C21" s="131" t="s">
        <v>57</v>
      </c>
      <c r="D21" s="131">
        <v>45</v>
      </c>
      <c r="E21" s="132"/>
      <c r="F21" s="132">
        <v>3550000</v>
      </c>
      <c r="G21" s="132"/>
      <c r="H21" s="147"/>
      <c r="I21" s="132"/>
      <c r="J21" s="132"/>
      <c r="K21" s="132">
        <f t="shared" si="3"/>
        <v>3550000</v>
      </c>
      <c r="L21" s="134"/>
      <c r="M21" s="135"/>
      <c r="N21" s="132">
        <v>3550000</v>
      </c>
      <c r="O21" s="136">
        <f>+M21+N21</f>
        <v>3550000</v>
      </c>
      <c r="P21" s="137"/>
      <c r="Q21" s="132">
        <v>3550000</v>
      </c>
      <c r="R21" s="138">
        <f>+P21+Q21</f>
        <v>3550000</v>
      </c>
      <c r="S21" s="139">
        <f t="shared" si="1"/>
        <v>0</v>
      </c>
      <c r="T21" s="135">
        <v>0</v>
      </c>
      <c r="U21" s="132">
        <v>3550000</v>
      </c>
      <c r="V21" s="136">
        <f>+T21+U21</f>
        <v>3550000</v>
      </c>
      <c r="W21" s="137"/>
      <c r="X21" s="132">
        <v>3550000</v>
      </c>
      <c r="Y21" s="138">
        <f t="shared" si="5"/>
        <v>3550000</v>
      </c>
      <c r="Z21" s="140"/>
      <c r="AA21" s="141"/>
    </row>
    <row r="22" spans="2:27" ht="14.25" customHeight="1" x14ac:dyDescent="0.25">
      <c r="B22" s="146" t="s">
        <v>58</v>
      </c>
      <c r="C22" s="131" t="s">
        <v>59</v>
      </c>
      <c r="D22" s="131">
        <v>1</v>
      </c>
      <c r="E22" s="132">
        <v>29700000</v>
      </c>
      <c r="F22" s="132">
        <f>2567548+906305+3538410</f>
        <v>7012263</v>
      </c>
      <c r="G22" s="132"/>
      <c r="H22" s="147">
        <f>+H23+H24</f>
        <v>0</v>
      </c>
      <c r="I22" s="132">
        <v>0</v>
      </c>
      <c r="J22" s="132">
        <v>0</v>
      </c>
      <c r="K22" s="132">
        <f>E22+F22-G22-I22+J22</f>
        <v>36712263</v>
      </c>
      <c r="L22" s="134" t="s">
        <v>47</v>
      </c>
      <c r="M22" s="135">
        <v>26917522</v>
      </c>
      <c r="N22" s="132">
        <f>1762273+940109+3553949+3538410</f>
        <v>9794741</v>
      </c>
      <c r="O22" s="136">
        <f>+M22+N22</f>
        <v>36712263</v>
      </c>
      <c r="P22" s="137">
        <v>26917522</v>
      </c>
      <c r="Q22" s="132">
        <f>1762273+940109+3553949+3538410</f>
        <v>9794741</v>
      </c>
      <c r="R22" s="138">
        <f t="shared" si="4"/>
        <v>36712263</v>
      </c>
      <c r="S22" s="139">
        <f t="shared" si="1"/>
        <v>0</v>
      </c>
      <c r="T22" s="135">
        <v>26917522</v>
      </c>
      <c r="U22" s="132">
        <f>6256331+3538410</f>
        <v>9794741</v>
      </c>
      <c r="V22" s="136">
        <f>+T22+U22</f>
        <v>36712263</v>
      </c>
      <c r="W22" s="137">
        <v>26917522</v>
      </c>
      <c r="X22" s="132">
        <f>6256331+3538410</f>
        <v>9794741</v>
      </c>
      <c r="Y22" s="138">
        <f t="shared" si="5"/>
        <v>36712263</v>
      </c>
      <c r="Z22" s="140">
        <f t="shared" si="6"/>
        <v>0</v>
      </c>
      <c r="AA22" s="141">
        <f t="shared" si="6"/>
        <v>0</v>
      </c>
    </row>
    <row r="23" spans="2:27" s="96" customFormat="1" ht="27" customHeight="1" x14ac:dyDescent="0.25">
      <c r="B23" s="119" t="s">
        <v>60</v>
      </c>
      <c r="C23" s="121" t="s">
        <v>61</v>
      </c>
      <c r="D23" s="121"/>
      <c r="E23" s="122">
        <f>+E24+E25+E27+E28+E29+E30+E31+E32+E33</f>
        <v>314100000</v>
      </c>
      <c r="F23" s="122">
        <f>SUM(F24:F33)</f>
        <v>34781619</v>
      </c>
      <c r="G23" s="122">
        <f>SUM(G24:I33)</f>
        <v>21373379.460000001</v>
      </c>
      <c r="H23" s="122">
        <f>+H24+H25+H27+H28+H29+H30+H31+H32+H33</f>
        <v>0</v>
      </c>
      <c r="I23" s="122">
        <f>+I24+I25+I27+I28+I29+I30+I31+I32+I33</f>
        <v>0</v>
      </c>
      <c r="J23" s="122">
        <f>SUM(J25:J33)</f>
        <v>10500000</v>
      </c>
      <c r="K23" s="122">
        <f>E23+F23-G23-I23+J23</f>
        <v>338008239.54000002</v>
      </c>
      <c r="L23" s="123"/>
      <c r="M23" s="125">
        <f>SUM(M24:M33)</f>
        <v>221992825</v>
      </c>
      <c r="N23" s="122">
        <f>SUM(N24:N33)</f>
        <v>116015415</v>
      </c>
      <c r="O23" s="126">
        <f>+N23+M23</f>
        <v>338008240</v>
      </c>
      <c r="P23" s="144">
        <f>SUM(P24:P33)</f>
        <v>221992825</v>
      </c>
      <c r="Q23" s="122">
        <f>SUM(Q24:Q33)</f>
        <v>116015415</v>
      </c>
      <c r="R23" s="127">
        <f t="shared" si="4"/>
        <v>338008240</v>
      </c>
      <c r="S23" s="145">
        <f t="shared" si="1"/>
        <v>-0.45999997854232788</v>
      </c>
      <c r="T23" s="125">
        <f>SUM(T24:T33)</f>
        <v>221992825</v>
      </c>
      <c r="U23" s="122">
        <f>SUM(U24:U33)</f>
        <v>116015415</v>
      </c>
      <c r="V23" s="126">
        <f>T23+U23</f>
        <v>338008240</v>
      </c>
      <c r="W23" s="144">
        <f>SUM(W24:W33)</f>
        <v>221992825</v>
      </c>
      <c r="X23" s="122">
        <f>SUM(X24:X33)</f>
        <v>91467482</v>
      </c>
      <c r="Y23" s="127">
        <f>W23+X23</f>
        <v>313460307</v>
      </c>
      <c r="Z23" s="128">
        <f>SUM(Z24:Z33)</f>
        <v>24547933</v>
      </c>
      <c r="AA23" s="129">
        <f>SUM(AA24:AA33)</f>
        <v>0</v>
      </c>
    </row>
    <row r="24" spans="2:27" x14ac:dyDescent="0.25">
      <c r="B24" s="130" t="s">
        <v>62</v>
      </c>
      <c r="C24" s="131" t="s">
        <v>63</v>
      </c>
      <c r="D24" s="131">
        <v>1</v>
      </c>
      <c r="E24" s="132">
        <v>87400000</v>
      </c>
      <c r="F24" s="132">
        <f>7058286+24375833</f>
        <v>31434119</v>
      </c>
      <c r="G24" s="132"/>
      <c r="H24" s="147">
        <f>+H25+H27+H28+H29+H30+H31+H32+H33+H34</f>
        <v>0</v>
      </c>
      <c r="I24" s="132">
        <v>0</v>
      </c>
      <c r="J24" s="132">
        <v>0</v>
      </c>
      <c r="K24" s="132">
        <f t="shared" ref="K24:K33" si="7">E24+F24-G24-I24+J24</f>
        <v>118834119</v>
      </c>
      <c r="L24" s="134" t="s">
        <v>47</v>
      </c>
      <c r="M24" s="135">
        <v>86821986</v>
      </c>
      <c r="N24" s="132">
        <f>7464200+24547933</f>
        <v>32012133</v>
      </c>
      <c r="O24" s="136">
        <f t="shared" ref="O24:O33" si="8">+M24+N24</f>
        <v>118834119</v>
      </c>
      <c r="P24" s="137">
        <v>86821986</v>
      </c>
      <c r="Q24" s="132">
        <f>7464200+24547933</f>
        <v>32012133</v>
      </c>
      <c r="R24" s="138">
        <f t="shared" si="4"/>
        <v>118834119</v>
      </c>
      <c r="S24" s="139">
        <f t="shared" si="1"/>
        <v>0</v>
      </c>
      <c r="T24" s="135">
        <v>86821986</v>
      </c>
      <c r="U24" s="136">
        <f>7464200+24547933</f>
        <v>32012133</v>
      </c>
      <c r="V24" s="136">
        <f t="shared" ref="V24:V37" si="9">+T24+U24</f>
        <v>118834119</v>
      </c>
      <c r="W24" s="137">
        <v>86821986</v>
      </c>
      <c r="X24" s="132">
        <v>7464200</v>
      </c>
      <c r="Y24" s="138">
        <f t="shared" si="5"/>
        <v>94286186</v>
      </c>
      <c r="Z24" s="140">
        <f t="shared" si="6"/>
        <v>24547933</v>
      </c>
      <c r="AA24" s="148">
        <v>0</v>
      </c>
    </row>
    <row r="25" spans="2:27" ht="18" customHeight="1" x14ac:dyDescent="0.25">
      <c r="B25" s="130" t="s">
        <v>64</v>
      </c>
      <c r="C25" s="131" t="s">
        <v>65</v>
      </c>
      <c r="D25" s="131">
        <v>1</v>
      </c>
      <c r="E25" s="132">
        <v>54300000</v>
      </c>
      <c r="F25" s="132">
        <v>0</v>
      </c>
      <c r="G25" s="132">
        <v>0</v>
      </c>
      <c r="H25" s="147">
        <f>+H27+H28+H29+H30+H31+H32+H33+H34+H35</f>
        <v>0</v>
      </c>
      <c r="I25" s="132">
        <v>0</v>
      </c>
      <c r="J25" s="132">
        <v>0</v>
      </c>
      <c r="K25" s="132">
        <f t="shared" si="7"/>
        <v>54300000</v>
      </c>
      <c r="L25" s="134" t="s">
        <v>47</v>
      </c>
      <c r="M25" s="135">
        <v>54300000</v>
      </c>
      <c r="N25" s="132"/>
      <c r="O25" s="136">
        <f t="shared" si="8"/>
        <v>54300000</v>
      </c>
      <c r="P25" s="137">
        <v>54300000</v>
      </c>
      <c r="Q25" s="132"/>
      <c r="R25" s="138">
        <f t="shared" si="4"/>
        <v>54300000</v>
      </c>
      <c r="S25" s="139">
        <f t="shared" si="1"/>
        <v>0</v>
      </c>
      <c r="T25" s="135">
        <v>54300000</v>
      </c>
      <c r="U25" s="136"/>
      <c r="V25" s="136">
        <f t="shared" si="9"/>
        <v>54300000</v>
      </c>
      <c r="W25" s="137">
        <v>54300000</v>
      </c>
      <c r="X25" s="132"/>
      <c r="Y25" s="138">
        <f t="shared" si="5"/>
        <v>54300000</v>
      </c>
      <c r="Z25" s="140">
        <f t="shared" si="6"/>
        <v>0</v>
      </c>
      <c r="AA25" s="141">
        <f t="shared" si="6"/>
        <v>0</v>
      </c>
    </row>
    <row r="26" spans="2:27" s="156" customFormat="1" ht="18" customHeight="1" x14ac:dyDescent="0.25">
      <c r="B26" s="149" t="s">
        <v>64</v>
      </c>
      <c r="C26" s="150" t="s">
        <v>65</v>
      </c>
      <c r="D26" s="150">
        <v>45</v>
      </c>
      <c r="E26" s="151"/>
      <c r="F26" s="132">
        <v>2000000</v>
      </c>
      <c r="G26" s="132">
        <v>16414</v>
      </c>
      <c r="H26" s="152"/>
      <c r="I26" s="153"/>
      <c r="J26" s="132">
        <v>10500000</v>
      </c>
      <c r="K26" s="132">
        <f t="shared" si="7"/>
        <v>12483586</v>
      </c>
      <c r="L26" s="134" t="s">
        <v>47</v>
      </c>
      <c r="M26" s="135">
        <v>7196586</v>
      </c>
      <c r="N26" s="132">
        <v>5287000</v>
      </c>
      <c r="O26" s="136">
        <f t="shared" si="8"/>
        <v>12483586</v>
      </c>
      <c r="P26" s="137">
        <v>7196586</v>
      </c>
      <c r="Q26" s="132">
        <v>5287000</v>
      </c>
      <c r="R26" s="138">
        <f t="shared" si="4"/>
        <v>12483586</v>
      </c>
      <c r="S26" s="139">
        <f t="shared" si="1"/>
        <v>0</v>
      </c>
      <c r="T26" s="135">
        <v>7196586</v>
      </c>
      <c r="U26" s="136">
        <v>5287000</v>
      </c>
      <c r="V26" s="136">
        <f t="shared" si="9"/>
        <v>12483586</v>
      </c>
      <c r="W26" s="137">
        <v>7196586</v>
      </c>
      <c r="X26" s="132">
        <v>5287000</v>
      </c>
      <c r="Y26" s="138">
        <f t="shared" si="5"/>
        <v>12483586</v>
      </c>
      <c r="Z26" s="154"/>
      <c r="AA26" s="155"/>
    </row>
    <row r="27" spans="2:27" ht="18" customHeight="1" x14ac:dyDescent="0.25">
      <c r="B27" s="130" t="s">
        <v>66</v>
      </c>
      <c r="C27" s="131" t="s">
        <v>67</v>
      </c>
      <c r="D27" s="131">
        <v>1</v>
      </c>
      <c r="E27" s="132">
        <v>92000000</v>
      </c>
      <c r="F27" s="132"/>
      <c r="G27" s="132">
        <v>13777765</v>
      </c>
      <c r="H27" s="147">
        <f>+H28+H29+H30+H31+H32+H33+H34+H35+H36</f>
        <v>0</v>
      </c>
      <c r="I27" s="132">
        <v>0</v>
      </c>
      <c r="J27" s="132">
        <v>0</v>
      </c>
      <c r="K27" s="132">
        <f t="shared" si="7"/>
        <v>78222235</v>
      </c>
      <c r="L27" s="134" t="s">
        <v>47</v>
      </c>
      <c r="M27" s="135">
        <v>5361753</v>
      </c>
      <c r="N27" s="132">
        <f>70773252+2087230</f>
        <v>72860482</v>
      </c>
      <c r="O27" s="136">
        <f t="shared" si="8"/>
        <v>78222235</v>
      </c>
      <c r="P27" s="137">
        <v>5361753</v>
      </c>
      <c r="Q27" s="132">
        <f>70773252+2087230</f>
        <v>72860482</v>
      </c>
      <c r="R27" s="138">
        <f t="shared" si="4"/>
        <v>78222235</v>
      </c>
      <c r="S27" s="139">
        <f t="shared" si="1"/>
        <v>0</v>
      </c>
      <c r="T27" s="135">
        <v>5361753</v>
      </c>
      <c r="U27" s="136">
        <v>72860482</v>
      </c>
      <c r="V27" s="136">
        <f t="shared" si="9"/>
        <v>78222235</v>
      </c>
      <c r="W27" s="137">
        <v>5361753</v>
      </c>
      <c r="X27" s="132">
        <v>72860482</v>
      </c>
      <c r="Y27" s="138">
        <f t="shared" si="5"/>
        <v>78222235</v>
      </c>
      <c r="Z27" s="140">
        <f t="shared" ref="Z27:AA36" si="10">+U27-X27</f>
        <v>0</v>
      </c>
      <c r="AA27" s="141">
        <f t="shared" si="10"/>
        <v>0</v>
      </c>
    </row>
    <row r="28" spans="2:27" ht="18" customHeight="1" x14ac:dyDescent="0.25">
      <c r="B28" s="130" t="s">
        <v>68</v>
      </c>
      <c r="C28" s="131" t="s">
        <v>69</v>
      </c>
      <c r="D28" s="131">
        <v>1</v>
      </c>
      <c r="E28" s="132">
        <v>30200000</v>
      </c>
      <c r="F28" s="132">
        <v>1347500</v>
      </c>
      <c r="G28" s="132">
        <v>314200</v>
      </c>
      <c r="H28" s="147">
        <f>+H29+H30+H31+H32+H33+H34+H35+H36+H38</f>
        <v>0</v>
      </c>
      <c r="I28" s="132">
        <v>0</v>
      </c>
      <c r="J28" s="132">
        <v>0</v>
      </c>
      <c r="K28" s="132">
        <f t="shared" si="7"/>
        <v>31233300</v>
      </c>
      <c r="L28" s="134" t="s">
        <v>47</v>
      </c>
      <c r="M28" s="135">
        <v>28774400</v>
      </c>
      <c r="N28" s="132">
        <v>2458900</v>
      </c>
      <c r="O28" s="136">
        <f t="shared" si="8"/>
        <v>31233300</v>
      </c>
      <c r="P28" s="137">
        <v>28774400</v>
      </c>
      <c r="Q28" s="132">
        <v>2458900</v>
      </c>
      <c r="R28" s="138">
        <f t="shared" si="4"/>
        <v>31233300</v>
      </c>
      <c r="S28" s="139">
        <f t="shared" si="1"/>
        <v>0</v>
      </c>
      <c r="T28" s="135">
        <v>28774400</v>
      </c>
      <c r="U28" s="136">
        <v>2458900</v>
      </c>
      <c r="V28" s="136">
        <f t="shared" si="9"/>
        <v>31233300</v>
      </c>
      <c r="W28" s="137">
        <v>28774400</v>
      </c>
      <c r="X28" s="132">
        <v>2458900</v>
      </c>
      <c r="Y28" s="138">
        <f t="shared" si="5"/>
        <v>31233300</v>
      </c>
      <c r="Z28" s="140">
        <f t="shared" si="10"/>
        <v>0</v>
      </c>
      <c r="AA28" s="141">
        <f t="shared" si="10"/>
        <v>0</v>
      </c>
    </row>
    <row r="29" spans="2:27" ht="18" customHeight="1" x14ac:dyDescent="0.25">
      <c r="B29" s="130" t="s">
        <v>70</v>
      </c>
      <c r="C29" s="131" t="s">
        <v>71</v>
      </c>
      <c r="D29" s="131">
        <v>1</v>
      </c>
      <c r="E29" s="132">
        <v>4500000</v>
      </c>
      <c r="F29" s="132">
        <v>0</v>
      </c>
      <c r="G29" s="132">
        <v>629000</v>
      </c>
      <c r="H29" s="147">
        <f>+H30+H31+H32+H33+H34+H35+H36+H38+H39</f>
        <v>0</v>
      </c>
      <c r="I29" s="132">
        <v>0</v>
      </c>
      <c r="J29" s="132">
        <v>0</v>
      </c>
      <c r="K29" s="132">
        <f t="shared" si="7"/>
        <v>3871000</v>
      </c>
      <c r="L29" s="134" t="s">
        <v>47</v>
      </c>
      <c r="M29" s="135">
        <v>3549500</v>
      </c>
      <c r="N29" s="132">
        <v>321500</v>
      </c>
      <c r="O29" s="136">
        <f t="shared" si="8"/>
        <v>3871000</v>
      </c>
      <c r="P29" s="137">
        <v>3549500</v>
      </c>
      <c r="Q29" s="132">
        <v>321500</v>
      </c>
      <c r="R29" s="138">
        <f t="shared" si="4"/>
        <v>3871000</v>
      </c>
      <c r="S29" s="139">
        <f t="shared" si="1"/>
        <v>0</v>
      </c>
      <c r="T29" s="135">
        <v>3549500</v>
      </c>
      <c r="U29" s="136">
        <v>321500</v>
      </c>
      <c r="V29" s="136">
        <f t="shared" si="9"/>
        <v>3871000</v>
      </c>
      <c r="W29" s="137">
        <v>3549500</v>
      </c>
      <c r="X29" s="132">
        <v>321500</v>
      </c>
      <c r="Y29" s="138">
        <f t="shared" si="5"/>
        <v>3871000</v>
      </c>
      <c r="Z29" s="140">
        <f t="shared" si="10"/>
        <v>0</v>
      </c>
      <c r="AA29" s="141">
        <f t="shared" si="10"/>
        <v>0</v>
      </c>
    </row>
    <row r="30" spans="2:27" ht="18" customHeight="1" x14ac:dyDescent="0.25">
      <c r="B30" s="130" t="s">
        <v>72</v>
      </c>
      <c r="C30" s="131" t="s">
        <v>73</v>
      </c>
      <c r="D30" s="131">
        <v>1</v>
      </c>
      <c r="E30" s="132">
        <v>27500000</v>
      </c>
      <c r="F30" s="132">
        <v>0</v>
      </c>
      <c r="G30" s="132">
        <f>3500000+572300</f>
        <v>4072300</v>
      </c>
      <c r="H30" s="147">
        <f>+H31+H32+H33+H34+H35+H36+H38+H39+H40</f>
        <v>0</v>
      </c>
      <c r="I30" s="132">
        <v>0</v>
      </c>
      <c r="J30" s="132">
        <v>0</v>
      </c>
      <c r="K30" s="132">
        <f t="shared" si="7"/>
        <v>23427700</v>
      </c>
      <c r="L30" s="134" t="s">
        <v>47</v>
      </c>
      <c r="M30" s="135">
        <v>21583400</v>
      </c>
      <c r="N30" s="132">
        <v>1844300</v>
      </c>
      <c r="O30" s="136">
        <f t="shared" si="8"/>
        <v>23427700</v>
      </c>
      <c r="P30" s="137">
        <v>21583400</v>
      </c>
      <c r="Q30" s="132">
        <v>1844300</v>
      </c>
      <c r="R30" s="138">
        <f t="shared" si="4"/>
        <v>23427700</v>
      </c>
      <c r="S30" s="139">
        <f t="shared" si="1"/>
        <v>0</v>
      </c>
      <c r="T30" s="135">
        <v>21583400</v>
      </c>
      <c r="U30" s="136">
        <v>1844300</v>
      </c>
      <c r="V30" s="136">
        <f t="shared" si="9"/>
        <v>23427700</v>
      </c>
      <c r="W30" s="137">
        <v>21583400</v>
      </c>
      <c r="X30" s="132">
        <v>1844300</v>
      </c>
      <c r="Y30" s="138">
        <f t="shared" si="5"/>
        <v>23427700</v>
      </c>
      <c r="Z30" s="140">
        <f t="shared" si="10"/>
        <v>0</v>
      </c>
      <c r="AA30" s="141">
        <f t="shared" si="10"/>
        <v>0</v>
      </c>
    </row>
    <row r="31" spans="2:27" ht="18" customHeight="1" x14ac:dyDescent="0.25">
      <c r="B31" s="130" t="s">
        <v>74</v>
      </c>
      <c r="C31" s="131" t="s">
        <v>75</v>
      </c>
      <c r="D31" s="131">
        <v>1</v>
      </c>
      <c r="E31" s="132">
        <v>5000000</v>
      </c>
      <c r="F31" s="132"/>
      <c r="G31" s="132">
        <f>800000+190693.46+98607</f>
        <v>1089300.46</v>
      </c>
      <c r="H31" s="147">
        <f>+H32+H33+H34+H35+H36+H38+H39+H40+H41</f>
        <v>0</v>
      </c>
      <c r="I31" s="132">
        <v>0</v>
      </c>
      <c r="J31" s="132">
        <v>0</v>
      </c>
      <c r="K31" s="132">
        <f t="shared" si="7"/>
        <v>3910699.54</v>
      </c>
      <c r="L31" s="134" t="s">
        <v>47</v>
      </c>
      <c r="M31" s="135">
        <v>3602800</v>
      </c>
      <c r="N31" s="132">
        <v>307900</v>
      </c>
      <c r="O31" s="136">
        <f t="shared" si="8"/>
        <v>3910700</v>
      </c>
      <c r="P31" s="137">
        <v>3602800</v>
      </c>
      <c r="Q31" s="132">
        <v>307900</v>
      </c>
      <c r="R31" s="138">
        <f t="shared" si="4"/>
        <v>3910700</v>
      </c>
      <c r="S31" s="139">
        <f t="shared" si="1"/>
        <v>-0.4599999999627471</v>
      </c>
      <c r="T31" s="135">
        <v>3602800</v>
      </c>
      <c r="U31" s="136">
        <v>307900</v>
      </c>
      <c r="V31" s="136">
        <f t="shared" si="9"/>
        <v>3910700</v>
      </c>
      <c r="W31" s="137">
        <v>3602800</v>
      </c>
      <c r="X31" s="132">
        <v>307900</v>
      </c>
      <c r="Y31" s="138">
        <f t="shared" si="5"/>
        <v>3910700</v>
      </c>
      <c r="Z31" s="140">
        <f t="shared" si="10"/>
        <v>0</v>
      </c>
      <c r="AA31" s="141">
        <f t="shared" si="10"/>
        <v>0</v>
      </c>
    </row>
    <row r="32" spans="2:27" ht="18" customHeight="1" x14ac:dyDescent="0.25">
      <c r="B32" s="130" t="s">
        <v>76</v>
      </c>
      <c r="C32" s="131" t="s">
        <v>77</v>
      </c>
      <c r="D32" s="131">
        <v>1</v>
      </c>
      <c r="E32" s="132">
        <v>5000000</v>
      </c>
      <c r="F32" s="132">
        <v>0</v>
      </c>
      <c r="G32" s="132">
        <f>800000+289300</f>
        <v>1089300</v>
      </c>
      <c r="H32" s="147">
        <f>+H33+H34+H35+H36+H38+H39+H40+H41+H42</f>
        <v>0</v>
      </c>
      <c r="I32" s="132">
        <v>0</v>
      </c>
      <c r="J32" s="132">
        <v>0</v>
      </c>
      <c r="K32" s="132">
        <f t="shared" si="7"/>
        <v>3910700</v>
      </c>
      <c r="L32" s="134" t="s">
        <v>47</v>
      </c>
      <c r="M32" s="135">
        <v>3602800</v>
      </c>
      <c r="N32" s="132">
        <v>307900</v>
      </c>
      <c r="O32" s="136">
        <f t="shared" si="8"/>
        <v>3910700</v>
      </c>
      <c r="P32" s="137">
        <v>3602800</v>
      </c>
      <c r="Q32" s="132">
        <v>307900</v>
      </c>
      <c r="R32" s="138">
        <f t="shared" si="4"/>
        <v>3910700</v>
      </c>
      <c r="S32" s="139">
        <f>+K32-R32</f>
        <v>0</v>
      </c>
      <c r="T32" s="135">
        <v>3602800</v>
      </c>
      <c r="U32" s="136">
        <v>307900</v>
      </c>
      <c r="V32" s="136">
        <f t="shared" si="9"/>
        <v>3910700</v>
      </c>
      <c r="W32" s="137">
        <v>3602800</v>
      </c>
      <c r="X32" s="132">
        <v>307900</v>
      </c>
      <c r="Y32" s="138">
        <f t="shared" si="5"/>
        <v>3910700</v>
      </c>
      <c r="Z32" s="140">
        <f t="shared" si="10"/>
        <v>0</v>
      </c>
      <c r="AA32" s="141">
        <f t="shared" si="10"/>
        <v>0</v>
      </c>
    </row>
    <row r="33" spans="1:29" ht="18" customHeight="1" x14ac:dyDescent="0.25">
      <c r="B33" s="130" t="s">
        <v>78</v>
      </c>
      <c r="C33" s="131" t="s">
        <v>79</v>
      </c>
      <c r="D33" s="131">
        <v>1</v>
      </c>
      <c r="E33" s="132">
        <v>8200000</v>
      </c>
      <c r="F33" s="132">
        <v>0</v>
      </c>
      <c r="G33" s="132">
        <v>385100</v>
      </c>
      <c r="H33" s="147">
        <f>+H34+H35+H36+H38+H39+H40+H41+H42+H54</f>
        <v>0</v>
      </c>
      <c r="I33" s="132">
        <v>0</v>
      </c>
      <c r="J33" s="132">
        <v>0</v>
      </c>
      <c r="K33" s="132">
        <f t="shared" si="7"/>
        <v>7814900</v>
      </c>
      <c r="L33" s="134" t="s">
        <v>47</v>
      </c>
      <c r="M33" s="135">
        <v>7199600</v>
      </c>
      <c r="N33" s="132">
        <v>615300</v>
      </c>
      <c r="O33" s="136">
        <f t="shared" si="8"/>
        <v>7814900</v>
      </c>
      <c r="P33" s="137">
        <v>7199600</v>
      </c>
      <c r="Q33" s="132">
        <v>615300</v>
      </c>
      <c r="R33" s="138">
        <f t="shared" si="4"/>
        <v>7814900</v>
      </c>
      <c r="S33" s="139">
        <f t="shared" si="1"/>
        <v>0</v>
      </c>
      <c r="T33" s="135">
        <v>7199600</v>
      </c>
      <c r="U33" s="136">
        <v>615300</v>
      </c>
      <c r="V33" s="136">
        <f t="shared" si="9"/>
        <v>7814900</v>
      </c>
      <c r="W33" s="137">
        <v>7199600</v>
      </c>
      <c r="X33" s="132">
        <v>615300</v>
      </c>
      <c r="Y33" s="138">
        <f t="shared" si="5"/>
        <v>7814900</v>
      </c>
      <c r="Z33" s="140">
        <f t="shared" si="10"/>
        <v>0</v>
      </c>
      <c r="AA33" s="141">
        <f t="shared" si="10"/>
        <v>0</v>
      </c>
    </row>
    <row r="34" spans="1:29" s="96" customFormat="1" ht="26.25" customHeight="1" x14ac:dyDescent="0.25">
      <c r="B34" s="97" t="s">
        <v>80</v>
      </c>
      <c r="C34" s="108" t="s">
        <v>81</v>
      </c>
      <c r="D34" s="108"/>
      <c r="E34" s="100">
        <f>E35</f>
        <v>62430000</v>
      </c>
      <c r="F34" s="100"/>
      <c r="G34" s="100">
        <f>G35</f>
        <v>20904813</v>
      </c>
      <c r="H34" s="100"/>
      <c r="I34" s="100"/>
      <c r="J34" s="100">
        <f>J35</f>
        <v>20000000</v>
      </c>
      <c r="K34" s="100">
        <f>K35</f>
        <v>61525187</v>
      </c>
      <c r="L34" s="101"/>
      <c r="M34" s="104">
        <f>+M35</f>
        <v>45091399</v>
      </c>
      <c r="N34" s="100">
        <f>+N35</f>
        <v>16433788</v>
      </c>
      <c r="O34" s="103">
        <f>+O35</f>
        <v>61525187</v>
      </c>
      <c r="P34" s="157">
        <f>+P35</f>
        <v>45091399</v>
      </c>
      <c r="Q34" s="100">
        <f>+Q35</f>
        <v>16433788</v>
      </c>
      <c r="R34" s="105">
        <f>+P34+Q34</f>
        <v>61525187</v>
      </c>
      <c r="S34" s="158">
        <f t="shared" si="1"/>
        <v>0</v>
      </c>
      <c r="T34" s="104">
        <f>+T35</f>
        <v>45091399</v>
      </c>
      <c r="U34" s="100">
        <f>+U35</f>
        <v>16433788</v>
      </c>
      <c r="V34" s="103">
        <f t="shared" si="9"/>
        <v>61525187</v>
      </c>
      <c r="W34" s="157">
        <f>+W35</f>
        <v>45091399</v>
      </c>
      <c r="X34" s="100">
        <f>+X35</f>
        <v>16433788</v>
      </c>
      <c r="Y34" s="105">
        <f t="shared" si="5"/>
        <v>61525187</v>
      </c>
      <c r="Z34" s="106">
        <f t="shared" si="10"/>
        <v>0</v>
      </c>
      <c r="AA34" s="107">
        <f t="shared" si="10"/>
        <v>0</v>
      </c>
    </row>
    <row r="35" spans="1:29" s="96" customFormat="1" ht="15" customHeight="1" x14ac:dyDescent="0.25">
      <c r="B35" s="119" t="s">
        <v>82</v>
      </c>
      <c r="C35" s="121" t="s">
        <v>55</v>
      </c>
      <c r="D35" s="121"/>
      <c r="E35" s="122">
        <f>SUM(E36:E38)</f>
        <v>62430000</v>
      </c>
      <c r="F35" s="122"/>
      <c r="G35" s="122">
        <f>SUM(G36:G38)</f>
        <v>20904813</v>
      </c>
      <c r="H35" s="122"/>
      <c r="I35" s="122"/>
      <c r="J35" s="122">
        <f>SUM(J36:J38)</f>
        <v>20000000</v>
      </c>
      <c r="K35" s="122">
        <f>SUM(K36:K38)</f>
        <v>61525187</v>
      </c>
      <c r="L35" s="123"/>
      <c r="M35" s="125">
        <f>SUM(M36:M38)</f>
        <v>45091399</v>
      </c>
      <c r="N35" s="125">
        <f>SUM(N36:N38)</f>
        <v>16433788</v>
      </c>
      <c r="O35" s="126">
        <f>+N35+M35</f>
        <v>61525187</v>
      </c>
      <c r="P35" s="144">
        <f>SUM(P36:P38)</f>
        <v>45091399</v>
      </c>
      <c r="Q35" s="125">
        <f>SUM(Q36:Q38)</f>
        <v>16433788</v>
      </c>
      <c r="R35" s="127">
        <f>+P35+Q35</f>
        <v>61525187</v>
      </c>
      <c r="S35" s="145">
        <f t="shared" si="1"/>
        <v>0</v>
      </c>
      <c r="T35" s="125">
        <f>SUM(T36:T38)</f>
        <v>45091399</v>
      </c>
      <c r="U35" s="122">
        <f>SUM(U36:U38)</f>
        <v>16433788</v>
      </c>
      <c r="V35" s="126">
        <f t="shared" si="9"/>
        <v>61525187</v>
      </c>
      <c r="W35" s="144">
        <f>SUM(W36:W38)</f>
        <v>45091399</v>
      </c>
      <c r="X35" s="122">
        <f>SUM(X36:X38)</f>
        <v>16433788</v>
      </c>
      <c r="Y35" s="127">
        <f>W35+X35</f>
        <v>61525187</v>
      </c>
      <c r="Z35" s="128">
        <f>SUM(Z36:Z38)</f>
        <v>0</v>
      </c>
      <c r="AA35" s="129">
        <f>SUM(AA36:AA38)</f>
        <v>0</v>
      </c>
    </row>
    <row r="36" spans="1:29" ht="20.25" customHeight="1" x14ac:dyDescent="0.25">
      <c r="B36" s="130" t="s">
        <v>83</v>
      </c>
      <c r="C36" s="131" t="s">
        <v>84</v>
      </c>
      <c r="D36" s="131">
        <v>1</v>
      </c>
      <c r="E36" s="132">
        <v>61000000</v>
      </c>
      <c r="F36" s="132"/>
      <c r="G36" s="132">
        <v>3700575</v>
      </c>
      <c r="H36" s="133">
        <v>0</v>
      </c>
      <c r="I36" s="132">
        <v>0</v>
      </c>
      <c r="J36" s="132">
        <v>0</v>
      </c>
      <c r="K36" s="132">
        <f>E36+F36-G36-I36+J36</f>
        <v>57299425</v>
      </c>
      <c r="L36" s="134" t="s">
        <v>47</v>
      </c>
      <c r="M36" s="135">
        <v>44290473</v>
      </c>
      <c r="N36" s="132">
        <f>3162692+1437300+3013174+5395786</f>
        <v>13008952</v>
      </c>
      <c r="O36" s="136">
        <f>+M36+N36</f>
        <v>57299425</v>
      </c>
      <c r="P36" s="137">
        <v>44290473</v>
      </c>
      <c r="Q36" s="132">
        <f>3162692+1437300+3013174+5395786</f>
        <v>13008952</v>
      </c>
      <c r="R36" s="138">
        <f>+P36+Q36</f>
        <v>57299425</v>
      </c>
      <c r="S36" s="139">
        <f t="shared" si="1"/>
        <v>0</v>
      </c>
      <c r="T36" s="135">
        <v>44290473</v>
      </c>
      <c r="U36" s="132">
        <f>7613166+4953773+442013</f>
        <v>13008952</v>
      </c>
      <c r="V36" s="136">
        <f t="shared" si="9"/>
        <v>57299425</v>
      </c>
      <c r="W36" s="137">
        <v>44290473</v>
      </c>
      <c r="X36" s="132">
        <f>7613166+5395786</f>
        <v>13008952</v>
      </c>
      <c r="Y36" s="138">
        <f t="shared" si="5"/>
        <v>57299425</v>
      </c>
      <c r="Z36" s="140">
        <f t="shared" si="10"/>
        <v>0</v>
      </c>
      <c r="AA36" s="141">
        <f t="shared" si="10"/>
        <v>0</v>
      </c>
    </row>
    <row r="37" spans="1:29" s="156" customFormat="1" ht="20.25" customHeight="1" x14ac:dyDescent="0.25">
      <c r="B37" s="149" t="s">
        <v>83</v>
      </c>
      <c r="C37" s="150" t="s">
        <v>84</v>
      </c>
      <c r="D37" s="150">
        <v>45</v>
      </c>
      <c r="E37" s="151"/>
      <c r="F37" s="151"/>
      <c r="G37" s="132">
        <v>16647913</v>
      </c>
      <c r="H37" s="133"/>
      <c r="I37" s="132"/>
      <c r="J37" s="132">
        <v>20000000</v>
      </c>
      <c r="K37" s="132">
        <f>E37+F37-G37-I37+J37</f>
        <v>3352087</v>
      </c>
      <c r="L37" s="134"/>
      <c r="M37" s="135"/>
      <c r="N37" s="132">
        <v>3352087</v>
      </c>
      <c r="O37" s="136">
        <f>+M37+N37</f>
        <v>3352087</v>
      </c>
      <c r="P37" s="137"/>
      <c r="Q37" s="132">
        <v>3352087</v>
      </c>
      <c r="R37" s="138">
        <f>+P37+Q37</f>
        <v>3352087</v>
      </c>
      <c r="S37" s="139">
        <f t="shared" si="1"/>
        <v>0</v>
      </c>
      <c r="T37" s="135"/>
      <c r="U37" s="132">
        <v>3352087</v>
      </c>
      <c r="V37" s="136">
        <f t="shared" si="9"/>
        <v>3352087</v>
      </c>
      <c r="W37" s="137"/>
      <c r="X37" s="132">
        <v>3352087</v>
      </c>
      <c r="Y37" s="138">
        <f t="shared" si="5"/>
        <v>3352087</v>
      </c>
      <c r="Z37" s="140"/>
      <c r="AA37" s="141"/>
    </row>
    <row r="38" spans="1:29" ht="20.25" customHeight="1" x14ac:dyDescent="0.25">
      <c r="B38" s="130" t="s">
        <v>85</v>
      </c>
      <c r="C38" s="131" t="s">
        <v>86</v>
      </c>
      <c r="D38" s="131">
        <v>1</v>
      </c>
      <c r="E38" s="132">
        <v>1430000</v>
      </c>
      <c r="F38" s="132">
        <v>0</v>
      </c>
      <c r="G38" s="132">
        <f>556325</f>
        <v>556325</v>
      </c>
      <c r="H38" s="133">
        <v>0</v>
      </c>
      <c r="I38" s="132">
        <v>0</v>
      </c>
      <c r="J38" s="132">
        <v>0</v>
      </c>
      <c r="K38" s="132">
        <f>E38+F38-G38-I38+J38</f>
        <v>873675</v>
      </c>
      <c r="L38" s="134" t="s">
        <v>47</v>
      </c>
      <c r="M38" s="135">
        <v>800926</v>
      </c>
      <c r="N38" s="132">
        <v>72749</v>
      </c>
      <c r="O38" s="136">
        <f>+M38+N38</f>
        <v>873675</v>
      </c>
      <c r="P38" s="137">
        <v>800926</v>
      </c>
      <c r="Q38" s="132">
        <v>72749</v>
      </c>
      <c r="R38" s="138">
        <f>+P38+Q38</f>
        <v>873675</v>
      </c>
      <c r="S38" s="139">
        <f>+K38-R38</f>
        <v>0</v>
      </c>
      <c r="T38" s="135">
        <v>800926</v>
      </c>
      <c r="U38" s="132">
        <v>72749</v>
      </c>
      <c r="V38" s="136">
        <f>+T38+U38</f>
        <v>873675</v>
      </c>
      <c r="W38" s="137">
        <v>800926</v>
      </c>
      <c r="X38" s="132">
        <v>72749</v>
      </c>
      <c r="Y38" s="138">
        <f>+W38+X38</f>
        <v>873675</v>
      </c>
      <c r="Z38" s="140">
        <f>+U38-X38</f>
        <v>0</v>
      </c>
      <c r="AA38" s="141">
        <f>+V38-Y38</f>
        <v>0</v>
      </c>
    </row>
    <row r="39" spans="1:29" s="96" customFormat="1" x14ac:dyDescent="0.25">
      <c r="B39" s="159" t="s">
        <v>87</v>
      </c>
      <c r="C39" s="108" t="s">
        <v>88</v>
      </c>
      <c r="D39" s="108"/>
      <c r="E39" s="100">
        <f>+E40+E155</f>
        <v>731600000</v>
      </c>
      <c r="F39" s="100">
        <f>+F40</f>
        <v>201815558</v>
      </c>
      <c r="G39" s="100">
        <f>+G40</f>
        <v>75624855.640000001</v>
      </c>
      <c r="H39" s="100">
        <f>+H40</f>
        <v>0</v>
      </c>
      <c r="I39" s="100">
        <f>+I40</f>
        <v>0</v>
      </c>
      <c r="J39" s="100">
        <f>J41++J155</f>
        <v>213500000</v>
      </c>
      <c r="K39" s="100">
        <f>+K40</f>
        <v>728990702.36000001</v>
      </c>
      <c r="L39" s="101"/>
      <c r="M39" s="104">
        <f>+M40</f>
        <v>477507510</v>
      </c>
      <c r="N39" s="100">
        <f>+N40</f>
        <v>222757126</v>
      </c>
      <c r="O39" s="103">
        <f>+N39+M39</f>
        <v>700264636</v>
      </c>
      <c r="P39" s="157">
        <f>+P40</f>
        <v>468254157</v>
      </c>
      <c r="Q39" s="100">
        <f>+Q40</f>
        <v>231036479</v>
      </c>
      <c r="R39" s="105">
        <f t="shared" ref="R39:R104" si="11">+Q39+P39</f>
        <v>699290636</v>
      </c>
      <c r="S39" s="158">
        <f t="shared" si="1"/>
        <v>29700066.360000014</v>
      </c>
      <c r="T39" s="104">
        <f>+T40</f>
        <v>350139485</v>
      </c>
      <c r="U39" s="100">
        <f>+U40</f>
        <v>277711782</v>
      </c>
      <c r="V39" s="103">
        <f>+T39+U39</f>
        <v>627851267</v>
      </c>
      <c r="W39" s="157">
        <f>+W40</f>
        <v>350139485</v>
      </c>
      <c r="X39" s="100">
        <f>+X40</f>
        <v>229571782</v>
      </c>
      <c r="Y39" s="105">
        <f t="shared" si="5"/>
        <v>579711267</v>
      </c>
      <c r="Z39" s="160">
        <f>+U39-X39</f>
        <v>48140000</v>
      </c>
      <c r="AA39" s="161">
        <f>AA40</f>
        <v>3091249</v>
      </c>
    </row>
    <row r="40" spans="1:29" s="96" customFormat="1" ht="26.25" customHeight="1" x14ac:dyDescent="0.25">
      <c r="B40" s="159" t="s">
        <v>89</v>
      </c>
      <c r="C40" s="108" t="s">
        <v>90</v>
      </c>
      <c r="D40" s="108"/>
      <c r="E40" s="100">
        <f t="shared" ref="E40:K40" si="12">E41+E155</f>
        <v>389300000</v>
      </c>
      <c r="F40" s="100">
        <f t="shared" si="12"/>
        <v>201815558</v>
      </c>
      <c r="G40" s="100">
        <f t="shared" si="12"/>
        <v>75624855.640000001</v>
      </c>
      <c r="H40" s="100">
        <f t="shared" si="12"/>
        <v>0</v>
      </c>
      <c r="I40" s="100">
        <f t="shared" si="12"/>
        <v>0</v>
      </c>
      <c r="J40" s="100">
        <f t="shared" si="12"/>
        <v>213500000</v>
      </c>
      <c r="K40" s="100">
        <f t="shared" si="12"/>
        <v>728990702.36000001</v>
      </c>
      <c r="L40" s="101"/>
      <c r="M40" s="104">
        <f>+M41+M155</f>
        <v>477507510</v>
      </c>
      <c r="N40" s="100">
        <f>+N41+N155</f>
        <v>222757126</v>
      </c>
      <c r="O40" s="103">
        <f>+N40+M40</f>
        <v>700264636</v>
      </c>
      <c r="P40" s="157">
        <f>+P41+P155</f>
        <v>468254157</v>
      </c>
      <c r="Q40" s="100">
        <f>+Q41+Q155</f>
        <v>231036479</v>
      </c>
      <c r="R40" s="105">
        <f t="shared" si="11"/>
        <v>699290636</v>
      </c>
      <c r="S40" s="158">
        <f t="shared" si="1"/>
        <v>29700066.360000014</v>
      </c>
      <c r="T40" s="104">
        <f>+T41+T155</f>
        <v>350139485</v>
      </c>
      <c r="U40" s="100">
        <f>+U41+U155</f>
        <v>277711782</v>
      </c>
      <c r="V40" s="103">
        <f>+T40+U40</f>
        <v>627851267</v>
      </c>
      <c r="W40" s="157">
        <f>+W41+W155</f>
        <v>350139485</v>
      </c>
      <c r="X40" s="100">
        <f>+X41+X155</f>
        <v>229571782</v>
      </c>
      <c r="Y40" s="105">
        <f t="shared" si="5"/>
        <v>579711267</v>
      </c>
      <c r="Z40" s="160">
        <f>+U40-X40</f>
        <v>48140000</v>
      </c>
      <c r="AA40" s="161">
        <f>AA41</f>
        <v>3091249</v>
      </c>
    </row>
    <row r="41" spans="1:29" s="168" customFormat="1" x14ac:dyDescent="0.25">
      <c r="A41" s="96"/>
      <c r="B41" s="162" t="s">
        <v>91</v>
      </c>
      <c r="C41" s="111" t="s">
        <v>92</v>
      </c>
      <c r="D41" s="111"/>
      <c r="E41" s="112">
        <f>+E42+E60+E131</f>
        <v>47000000</v>
      </c>
      <c r="F41" s="112">
        <f>+F42+F60+F131</f>
        <v>22988119</v>
      </c>
      <c r="G41" s="112">
        <f>+G42+G60+G131</f>
        <v>42942756.640000001</v>
      </c>
      <c r="H41" s="112"/>
      <c r="I41" s="112"/>
      <c r="J41" s="112">
        <f>J42+J60+J131</f>
        <v>53000000</v>
      </c>
      <c r="K41" s="112">
        <f>+K42+K60+K131</f>
        <v>80045362.359999999</v>
      </c>
      <c r="L41" s="113"/>
      <c r="M41" s="163">
        <f>+M42+M60+M131</f>
        <v>44208715</v>
      </c>
      <c r="N41" s="112">
        <f>N42+N60+N131</f>
        <v>35836647</v>
      </c>
      <c r="O41" s="115">
        <f t="shared" ref="O41:O149" si="13">+M41+N41</f>
        <v>80045362</v>
      </c>
      <c r="P41" s="164">
        <f>+P42+P60+P131</f>
        <v>37905362</v>
      </c>
      <c r="Q41" s="112">
        <f>Q42+Q60+Q131</f>
        <v>42140000</v>
      </c>
      <c r="R41" s="116">
        <f t="shared" si="11"/>
        <v>80045362</v>
      </c>
      <c r="S41" s="165">
        <f t="shared" si="1"/>
        <v>0.35999999940395355</v>
      </c>
      <c r="T41" s="163">
        <f>+T42+T60+T131</f>
        <v>33546690</v>
      </c>
      <c r="U41" s="112">
        <f>+U42+U60+U131</f>
        <v>43407423</v>
      </c>
      <c r="V41" s="115">
        <f>+T41+U41</f>
        <v>76954113</v>
      </c>
      <c r="W41" s="164">
        <f>+W42+W60+W131</f>
        <v>33546690</v>
      </c>
      <c r="X41" s="112">
        <f>+X42+X60+X131</f>
        <v>1267423</v>
      </c>
      <c r="Y41" s="116">
        <f>Y42+Y60+Y131</f>
        <v>34814113</v>
      </c>
      <c r="Z41" s="166">
        <f>+U41-X41</f>
        <v>42140000</v>
      </c>
      <c r="AA41" s="167">
        <f>AA42+AA60+AA131</f>
        <v>3091249</v>
      </c>
      <c r="AB41" s="96"/>
      <c r="AC41" s="96"/>
    </row>
    <row r="42" spans="1:29" s="45" customFormat="1" ht="51.75" customHeight="1" x14ac:dyDescent="0.25">
      <c r="B42" s="169" t="s">
        <v>93</v>
      </c>
      <c r="C42" s="121" t="s">
        <v>94</v>
      </c>
      <c r="D42" s="121">
        <v>1</v>
      </c>
      <c r="E42" s="122">
        <v>10000000</v>
      </c>
      <c r="F42" s="122">
        <f>SUM(F43:F59)</f>
        <v>0</v>
      </c>
      <c r="G42" s="122">
        <f>SUM(G43:G47)</f>
        <v>5034200</v>
      </c>
      <c r="H42" s="170">
        <v>0</v>
      </c>
      <c r="I42" s="122">
        <v>0</v>
      </c>
      <c r="J42" s="122">
        <v>0</v>
      </c>
      <c r="K42" s="122">
        <f>E42+F42-G42-I42+J42</f>
        <v>4965800</v>
      </c>
      <c r="L42" s="123" t="s">
        <v>95</v>
      </c>
      <c r="M42" s="125">
        <f>SUM(M43:M59)</f>
        <v>5371050</v>
      </c>
      <c r="N42" s="122">
        <f>SUM(N43:N59)</f>
        <v>-405250</v>
      </c>
      <c r="O42" s="126">
        <f t="shared" si="13"/>
        <v>4965800</v>
      </c>
      <c r="P42" s="144">
        <f>SUM(P43:P59)</f>
        <v>4965800</v>
      </c>
      <c r="Q42" s="122">
        <f>SUM(Q43:Q59)</f>
        <v>0</v>
      </c>
      <c r="R42" s="127">
        <f t="shared" si="11"/>
        <v>4965800</v>
      </c>
      <c r="S42" s="145">
        <f>+K42-R42</f>
        <v>0</v>
      </c>
      <c r="T42" s="125">
        <f>SUM(T43:T59)</f>
        <v>4965800</v>
      </c>
      <c r="U42" s="122">
        <f>SUM(U43:U59)</f>
        <v>0</v>
      </c>
      <c r="V42" s="126">
        <f t="shared" ref="V42:V53" si="14">T42+U42</f>
        <v>4965800</v>
      </c>
      <c r="W42" s="144">
        <f>SUM(W43:W59)</f>
        <v>4965800</v>
      </c>
      <c r="X42" s="122">
        <f>SUM(X43:X59)</f>
        <v>0</v>
      </c>
      <c r="Y42" s="127">
        <f t="shared" ref="Y42:Y59" si="15">W42+X42</f>
        <v>4965800</v>
      </c>
      <c r="Z42" s="171">
        <f>SUM(Z43:Z59)</f>
        <v>0</v>
      </c>
      <c r="AA42" s="172">
        <f>SUM(AA43:AA59)</f>
        <v>0</v>
      </c>
    </row>
    <row r="43" spans="1:29" ht="22.5" customHeight="1" x14ac:dyDescent="0.25">
      <c r="B43" s="173" t="s">
        <v>93</v>
      </c>
      <c r="C43" s="131" t="s">
        <v>96</v>
      </c>
      <c r="D43" s="131"/>
      <c r="E43" s="132"/>
      <c r="F43" s="132"/>
      <c r="G43" s="132">
        <v>3831300</v>
      </c>
      <c r="H43" s="133"/>
      <c r="I43" s="132"/>
      <c r="J43" s="132"/>
      <c r="K43" s="132"/>
      <c r="L43" s="134"/>
      <c r="M43" s="135"/>
      <c r="N43" s="132"/>
      <c r="O43" s="136"/>
      <c r="P43" s="137"/>
      <c r="Q43" s="132"/>
      <c r="R43" s="138"/>
      <c r="S43" s="139"/>
      <c r="T43" s="135"/>
      <c r="U43" s="132"/>
      <c r="V43" s="136"/>
      <c r="W43" s="137"/>
      <c r="X43" s="132"/>
      <c r="Y43" s="138"/>
      <c r="Z43" s="174"/>
      <c r="AA43" s="148"/>
    </row>
    <row r="44" spans="1:29" ht="22.5" customHeight="1" x14ac:dyDescent="0.25">
      <c r="B44" s="173" t="s">
        <v>93</v>
      </c>
      <c r="C44" s="175" t="s">
        <v>97</v>
      </c>
      <c r="D44" s="131"/>
      <c r="E44" s="132"/>
      <c r="F44" s="132"/>
      <c r="G44" s="132">
        <v>1202900</v>
      </c>
      <c r="H44" s="133"/>
      <c r="I44" s="132"/>
      <c r="J44" s="132"/>
      <c r="K44" s="132"/>
      <c r="L44" s="134"/>
      <c r="M44" s="135"/>
      <c r="N44" s="132"/>
      <c r="O44" s="136"/>
      <c r="P44" s="137"/>
      <c r="Q44" s="132"/>
      <c r="R44" s="138"/>
      <c r="S44" s="139"/>
      <c r="T44" s="135"/>
      <c r="U44" s="132"/>
      <c r="V44" s="136"/>
      <c r="W44" s="137"/>
      <c r="X44" s="132"/>
      <c r="Y44" s="138"/>
      <c r="Z44" s="174"/>
      <c r="AA44" s="148"/>
    </row>
    <row r="45" spans="1:29" ht="22.5" customHeight="1" x14ac:dyDescent="0.25">
      <c r="B45" s="173" t="s">
        <v>93</v>
      </c>
      <c r="C45" s="131" t="s">
        <v>98</v>
      </c>
      <c r="D45" s="131"/>
      <c r="E45" s="132"/>
      <c r="F45" s="132"/>
      <c r="G45" s="132"/>
      <c r="H45" s="133"/>
      <c r="I45" s="132"/>
      <c r="J45" s="132"/>
      <c r="K45" s="132"/>
      <c r="L45" s="134">
        <v>2355001</v>
      </c>
      <c r="M45" s="135">
        <v>272800</v>
      </c>
      <c r="N45" s="132">
        <v>0</v>
      </c>
      <c r="O45" s="136">
        <f>+M45+N45</f>
        <v>272800</v>
      </c>
      <c r="P45" s="137">
        <v>272800</v>
      </c>
      <c r="Q45" s="132">
        <v>0</v>
      </c>
      <c r="R45" s="138">
        <f>+Q45+P45</f>
        <v>272800</v>
      </c>
      <c r="S45" s="139"/>
      <c r="T45" s="135">
        <v>272800</v>
      </c>
      <c r="U45" s="132"/>
      <c r="V45" s="136">
        <f>T45+U45</f>
        <v>272800</v>
      </c>
      <c r="W45" s="137">
        <v>272800</v>
      </c>
      <c r="X45" s="132"/>
      <c r="Y45" s="138">
        <f>W45+X45</f>
        <v>272800</v>
      </c>
      <c r="Z45" s="174">
        <f t="shared" ref="Z45:AA47" si="16">+U45-X45</f>
        <v>0</v>
      </c>
      <c r="AA45" s="148">
        <f t="shared" si="16"/>
        <v>0</v>
      </c>
    </row>
    <row r="46" spans="1:29" ht="22.5" customHeight="1" x14ac:dyDescent="0.25">
      <c r="B46" s="173" t="s">
        <v>93</v>
      </c>
      <c r="C46" s="131" t="s">
        <v>99</v>
      </c>
      <c r="D46" s="131"/>
      <c r="E46" s="132"/>
      <c r="F46" s="132"/>
      <c r="G46" s="132"/>
      <c r="H46" s="133"/>
      <c r="I46" s="132"/>
      <c r="J46" s="132"/>
      <c r="K46" s="132"/>
      <c r="L46" s="134">
        <v>2381302</v>
      </c>
      <c r="M46" s="135">
        <v>346500</v>
      </c>
      <c r="N46" s="132"/>
      <c r="O46" s="136">
        <f t="shared" si="13"/>
        <v>346500</v>
      </c>
      <c r="P46" s="137">
        <v>346500</v>
      </c>
      <c r="Q46" s="132"/>
      <c r="R46" s="138">
        <f t="shared" si="11"/>
        <v>346500</v>
      </c>
      <c r="S46" s="139"/>
      <c r="T46" s="135">
        <v>346500</v>
      </c>
      <c r="U46" s="132"/>
      <c r="V46" s="136">
        <f t="shared" si="14"/>
        <v>346500</v>
      </c>
      <c r="W46" s="137">
        <v>346500</v>
      </c>
      <c r="X46" s="176"/>
      <c r="Y46" s="138">
        <f t="shared" si="15"/>
        <v>346500</v>
      </c>
      <c r="Z46" s="174">
        <f t="shared" si="16"/>
        <v>0</v>
      </c>
      <c r="AA46" s="148">
        <f t="shared" si="16"/>
        <v>0</v>
      </c>
    </row>
    <row r="47" spans="1:29" ht="22.5" customHeight="1" x14ac:dyDescent="0.25">
      <c r="B47" s="173" t="s">
        <v>93</v>
      </c>
      <c r="C47" s="131" t="s">
        <v>100</v>
      </c>
      <c r="D47" s="131"/>
      <c r="E47" s="132"/>
      <c r="F47" s="132"/>
      <c r="G47" s="132"/>
      <c r="H47" s="133"/>
      <c r="I47" s="132"/>
      <c r="J47" s="132"/>
      <c r="K47" s="132"/>
      <c r="L47" s="134">
        <v>2441001</v>
      </c>
      <c r="M47" s="135">
        <v>57900</v>
      </c>
      <c r="N47" s="132">
        <v>0</v>
      </c>
      <c r="O47" s="136">
        <f t="shared" si="13"/>
        <v>57900</v>
      </c>
      <c r="P47" s="137">
        <v>57900</v>
      </c>
      <c r="Q47" s="132"/>
      <c r="R47" s="138">
        <f t="shared" si="11"/>
        <v>57900</v>
      </c>
      <c r="S47" s="139"/>
      <c r="T47" s="135">
        <v>57900</v>
      </c>
      <c r="U47" s="132"/>
      <c r="V47" s="136">
        <f t="shared" si="14"/>
        <v>57900</v>
      </c>
      <c r="W47" s="137">
        <v>57900</v>
      </c>
      <c r="X47" s="177"/>
      <c r="Y47" s="138">
        <f t="shared" si="15"/>
        <v>57900</v>
      </c>
      <c r="Z47" s="174">
        <f t="shared" si="16"/>
        <v>0</v>
      </c>
      <c r="AA47" s="148">
        <f t="shared" si="16"/>
        <v>0</v>
      </c>
    </row>
    <row r="48" spans="1:29" ht="22.5" customHeight="1" x14ac:dyDescent="0.25">
      <c r="B48" s="173" t="s">
        <v>93</v>
      </c>
      <c r="C48" s="131" t="s">
        <v>101</v>
      </c>
      <c r="D48" s="131"/>
      <c r="E48" s="132"/>
      <c r="F48" s="132"/>
      <c r="G48" s="132"/>
      <c r="H48" s="133"/>
      <c r="I48" s="132"/>
      <c r="J48" s="132"/>
      <c r="K48" s="132"/>
      <c r="L48" s="134">
        <v>2441001</v>
      </c>
      <c r="M48" s="135">
        <v>997900</v>
      </c>
      <c r="N48" s="132"/>
      <c r="O48" s="136">
        <f t="shared" si="13"/>
        <v>997900</v>
      </c>
      <c r="P48" s="137">
        <v>997900</v>
      </c>
      <c r="Q48" s="132"/>
      <c r="R48" s="138">
        <f t="shared" si="11"/>
        <v>997900</v>
      </c>
      <c r="S48" s="139"/>
      <c r="T48" s="135">
        <v>997900</v>
      </c>
      <c r="U48" s="132"/>
      <c r="V48" s="136">
        <f t="shared" si="14"/>
        <v>997900</v>
      </c>
      <c r="W48" s="137">
        <v>997900</v>
      </c>
      <c r="X48" s="132"/>
      <c r="Y48" s="138">
        <f t="shared" si="15"/>
        <v>997900</v>
      </c>
      <c r="Z48" s="174"/>
      <c r="AA48" s="148"/>
    </row>
    <row r="49" spans="2:27" ht="22.5" customHeight="1" x14ac:dyDescent="0.25">
      <c r="B49" s="173" t="s">
        <v>93</v>
      </c>
      <c r="C49" s="131" t="s">
        <v>102</v>
      </c>
      <c r="D49" s="131"/>
      <c r="E49" s="132"/>
      <c r="F49" s="132"/>
      <c r="G49" s="132"/>
      <c r="H49" s="133"/>
      <c r="I49" s="132"/>
      <c r="J49" s="132"/>
      <c r="K49" s="132"/>
      <c r="L49" s="134">
        <v>2712010</v>
      </c>
      <c r="M49" s="135">
        <v>21400</v>
      </c>
      <c r="N49" s="132">
        <v>0</v>
      </c>
      <c r="O49" s="136">
        <f t="shared" si="13"/>
        <v>21400</v>
      </c>
      <c r="P49" s="137">
        <v>21400</v>
      </c>
      <c r="Q49" s="132"/>
      <c r="R49" s="138">
        <f t="shared" si="11"/>
        <v>21400</v>
      </c>
      <c r="S49" s="139"/>
      <c r="T49" s="135">
        <v>21400</v>
      </c>
      <c r="U49" s="132">
        <v>0</v>
      </c>
      <c r="V49" s="136">
        <f t="shared" si="14"/>
        <v>21400</v>
      </c>
      <c r="W49" s="137">
        <v>21400</v>
      </c>
      <c r="X49" s="132">
        <v>0</v>
      </c>
      <c r="Y49" s="138">
        <f t="shared" si="15"/>
        <v>21400</v>
      </c>
      <c r="Z49" s="174"/>
      <c r="AA49" s="148"/>
    </row>
    <row r="50" spans="2:27" ht="22.5" customHeight="1" x14ac:dyDescent="0.25">
      <c r="B50" s="173" t="s">
        <v>93</v>
      </c>
      <c r="C50" s="131" t="s">
        <v>103</v>
      </c>
      <c r="D50" s="131"/>
      <c r="E50" s="132"/>
      <c r="F50" s="132"/>
      <c r="G50" s="132"/>
      <c r="H50" s="133"/>
      <c r="I50" s="132"/>
      <c r="J50" s="132"/>
      <c r="K50" s="132"/>
      <c r="L50" s="134">
        <v>2391201</v>
      </c>
      <c r="M50" s="135">
        <v>9100</v>
      </c>
      <c r="N50" s="132">
        <v>0</v>
      </c>
      <c r="O50" s="136">
        <f t="shared" si="13"/>
        <v>9100</v>
      </c>
      <c r="P50" s="137">
        <v>9100</v>
      </c>
      <c r="Q50" s="132"/>
      <c r="R50" s="138">
        <f t="shared" si="11"/>
        <v>9100</v>
      </c>
      <c r="S50" s="139"/>
      <c r="T50" s="135">
        <v>9100</v>
      </c>
      <c r="U50" s="132">
        <v>0</v>
      </c>
      <c r="V50" s="136">
        <f t="shared" si="14"/>
        <v>9100</v>
      </c>
      <c r="W50" s="137">
        <v>9100</v>
      </c>
      <c r="X50" s="132">
        <v>0</v>
      </c>
      <c r="Y50" s="138">
        <f t="shared" si="15"/>
        <v>9100</v>
      </c>
      <c r="Z50" s="174"/>
      <c r="AA50" s="148"/>
    </row>
    <row r="51" spans="2:27" ht="22.5" customHeight="1" x14ac:dyDescent="0.25">
      <c r="B51" s="173" t="s">
        <v>93</v>
      </c>
      <c r="C51" s="131" t="s">
        <v>104</v>
      </c>
      <c r="D51" s="131"/>
      <c r="E51" s="132"/>
      <c r="F51" s="132"/>
      <c r="G51" s="132"/>
      <c r="H51" s="133"/>
      <c r="I51" s="132"/>
      <c r="J51" s="132"/>
      <c r="K51" s="132"/>
      <c r="L51" s="134">
        <v>2822301</v>
      </c>
      <c r="M51" s="135">
        <v>1990000</v>
      </c>
      <c r="N51" s="132">
        <v>-330000</v>
      </c>
      <c r="O51" s="136">
        <f t="shared" si="13"/>
        <v>1660000</v>
      </c>
      <c r="P51" s="137">
        <v>1660000</v>
      </c>
      <c r="Q51" s="132"/>
      <c r="R51" s="138">
        <f t="shared" si="11"/>
        <v>1660000</v>
      </c>
      <c r="S51" s="139"/>
      <c r="T51" s="135">
        <v>1660000</v>
      </c>
      <c r="U51" s="132">
        <v>0</v>
      </c>
      <c r="V51" s="136">
        <f t="shared" si="14"/>
        <v>1660000</v>
      </c>
      <c r="W51" s="137">
        <v>1660000</v>
      </c>
      <c r="X51" s="132">
        <v>0</v>
      </c>
      <c r="Y51" s="138">
        <f t="shared" si="15"/>
        <v>1660000</v>
      </c>
      <c r="Z51" s="174">
        <f>+U51-X51</f>
        <v>0</v>
      </c>
      <c r="AA51" s="148">
        <f>+V51-Y51</f>
        <v>0</v>
      </c>
    </row>
    <row r="52" spans="2:27" ht="22.5" customHeight="1" x14ac:dyDescent="0.25">
      <c r="B52" s="173" t="s">
        <v>93</v>
      </c>
      <c r="C52" s="131" t="s">
        <v>105</v>
      </c>
      <c r="D52" s="131"/>
      <c r="E52" s="132"/>
      <c r="F52" s="132"/>
      <c r="G52" s="132"/>
      <c r="H52" s="133"/>
      <c r="I52" s="132"/>
      <c r="J52" s="132"/>
      <c r="K52" s="132"/>
      <c r="L52" s="134">
        <v>2732007</v>
      </c>
      <c r="M52" s="135">
        <v>135600</v>
      </c>
      <c r="N52" s="132">
        <v>0</v>
      </c>
      <c r="O52" s="136">
        <f t="shared" si="13"/>
        <v>135600</v>
      </c>
      <c r="P52" s="137">
        <v>135600</v>
      </c>
      <c r="Q52" s="132"/>
      <c r="R52" s="138">
        <f t="shared" si="11"/>
        <v>135600</v>
      </c>
      <c r="S52" s="139"/>
      <c r="T52" s="135">
        <v>135600</v>
      </c>
      <c r="U52" s="132">
        <v>0</v>
      </c>
      <c r="V52" s="136">
        <f t="shared" si="14"/>
        <v>135600</v>
      </c>
      <c r="W52" s="137">
        <v>135600</v>
      </c>
      <c r="X52" s="132">
        <v>0</v>
      </c>
      <c r="Y52" s="138">
        <f t="shared" si="15"/>
        <v>135600</v>
      </c>
      <c r="Z52" s="174">
        <f>+U52-X52</f>
        <v>0</v>
      </c>
      <c r="AA52" s="148">
        <f>+V52-Y52</f>
        <v>0</v>
      </c>
    </row>
    <row r="53" spans="2:27" ht="22.5" customHeight="1" x14ac:dyDescent="0.25">
      <c r="B53" s="178" t="s">
        <v>93</v>
      </c>
      <c r="C53" s="179" t="s">
        <v>106</v>
      </c>
      <c r="D53" s="179"/>
      <c r="E53" s="180"/>
      <c r="F53" s="180"/>
      <c r="G53" s="180"/>
      <c r="H53" s="180"/>
      <c r="I53" s="180"/>
      <c r="J53" s="180"/>
      <c r="K53" s="180"/>
      <c r="L53" s="181">
        <v>1202001</v>
      </c>
      <c r="M53" s="182">
        <v>600000</v>
      </c>
      <c r="N53" s="180">
        <v>0</v>
      </c>
      <c r="O53" s="183">
        <f t="shared" si="13"/>
        <v>600000</v>
      </c>
      <c r="P53" s="184">
        <v>600000</v>
      </c>
      <c r="Q53" s="180"/>
      <c r="R53" s="138">
        <f t="shared" si="11"/>
        <v>600000</v>
      </c>
      <c r="S53" s="185"/>
      <c r="T53" s="182">
        <v>600000</v>
      </c>
      <c r="U53" s="180">
        <v>0</v>
      </c>
      <c r="V53" s="136">
        <f t="shared" si="14"/>
        <v>600000</v>
      </c>
      <c r="W53" s="184">
        <v>600000</v>
      </c>
      <c r="X53" s="180">
        <v>0</v>
      </c>
      <c r="Y53" s="138">
        <f t="shared" si="15"/>
        <v>600000</v>
      </c>
      <c r="Z53" s="186"/>
      <c r="AA53" s="187"/>
    </row>
    <row r="54" spans="2:27" ht="22.5" customHeight="1" x14ac:dyDescent="0.25">
      <c r="B54" s="173" t="s">
        <v>93</v>
      </c>
      <c r="C54" s="188" t="s">
        <v>107</v>
      </c>
      <c r="D54" s="189"/>
      <c r="E54" s="132"/>
      <c r="F54" s="132">
        <v>0</v>
      </c>
      <c r="G54" s="132">
        <v>0</v>
      </c>
      <c r="H54" s="133">
        <v>0</v>
      </c>
      <c r="I54" s="132">
        <v>0</v>
      </c>
      <c r="J54" s="132">
        <v>0</v>
      </c>
      <c r="K54" s="132"/>
      <c r="L54" s="134">
        <v>2712010</v>
      </c>
      <c r="M54" s="135">
        <v>17000</v>
      </c>
      <c r="N54" s="132"/>
      <c r="O54" s="136">
        <f t="shared" si="13"/>
        <v>17000</v>
      </c>
      <c r="P54" s="137">
        <v>17000</v>
      </c>
      <c r="Q54" s="132"/>
      <c r="R54" s="138">
        <f t="shared" si="11"/>
        <v>17000</v>
      </c>
      <c r="S54" s="190">
        <v>0</v>
      </c>
      <c r="T54" s="135">
        <v>17000</v>
      </c>
      <c r="U54" s="132">
        <v>0</v>
      </c>
      <c r="V54" s="136">
        <f t="shared" ref="V54:V59" si="17">+T54+U54</f>
        <v>17000</v>
      </c>
      <c r="W54" s="137">
        <v>17000</v>
      </c>
      <c r="X54" s="132">
        <v>0</v>
      </c>
      <c r="Y54" s="138">
        <f t="shared" si="15"/>
        <v>17000</v>
      </c>
      <c r="Z54" s="174">
        <f>+U54-X54</f>
        <v>0</v>
      </c>
      <c r="AA54" s="148">
        <f>+V54-Y54</f>
        <v>0</v>
      </c>
    </row>
    <row r="55" spans="2:27" ht="22.5" customHeight="1" x14ac:dyDescent="0.25">
      <c r="B55" s="173" t="s">
        <v>93</v>
      </c>
      <c r="C55" s="188" t="s">
        <v>108</v>
      </c>
      <c r="D55" s="189"/>
      <c r="E55" s="132"/>
      <c r="F55" s="132"/>
      <c r="G55" s="132"/>
      <c r="H55" s="133"/>
      <c r="I55" s="132"/>
      <c r="J55" s="132"/>
      <c r="K55" s="132"/>
      <c r="L55" s="134">
        <v>2381302</v>
      </c>
      <c r="M55" s="135">
        <v>511750</v>
      </c>
      <c r="N55" s="137">
        <v>-17750</v>
      </c>
      <c r="O55" s="136">
        <f t="shared" si="13"/>
        <v>494000</v>
      </c>
      <c r="P55" s="137">
        <v>494000</v>
      </c>
      <c r="Q55" s="132"/>
      <c r="R55" s="138">
        <f t="shared" si="11"/>
        <v>494000</v>
      </c>
      <c r="S55" s="190"/>
      <c r="T55" s="135">
        <v>494000</v>
      </c>
      <c r="U55" s="132"/>
      <c r="V55" s="136">
        <f t="shared" si="17"/>
        <v>494000</v>
      </c>
      <c r="W55" s="137">
        <v>494000</v>
      </c>
      <c r="X55" s="132"/>
      <c r="Y55" s="138">
        <f t="shared" si="15"/>
        <v>494000</v>
      </c>
      <c r="Z55" s="174"/>
      <c r="AA55" s="148"/>
    </row>
    <row r="56" spans="2:27" ht="22.5" customHeight="1" x14ac:dyDescent="0.25">
      <c r="B56" s="173" t="s">
        <v>93</v>
      </c>
      <c r="C56" s="188" t="s">
        <v>109</v>
      </c>
      <c r="D56" s="189"/>
      <c r="E56" s="132"/>
      <c r="F56" s="132"/>
      <c r="G56" s="132"/>
      <c r="H56" s="133"/>
      <c r="I56" s="132"/>
      <c r="J56" s="132"/>
      <c r="K56" s="132"/>
      <c r="L56" s="134">
        <v>2355001</v>
      </c>
      <c r="M56" s="135">
        <v>276000</v>
      </c>
      <c r="N56" s="137">
        <v>-10800</v>
      </c>
      <c r="O56" s="136">
        <f t="shared" si="13"/>
        <v>265200</v>
      </c>
      <c r="P56" s="137">
        <v>265200</v>
      </c>
      <c r="Q56" s="132"/>
      <c r="R56" s="138">
        <f t="shared" si="11"/>
        <v>265200</v>
      </c>
      <c r="S56" s="190"/>
      <c r="T56" s="135">
        <v>265200</v>
      </c>
      <c r="U56" s="132"/>
      <c r="V56" s="136">
        <f t="shared" si="17"/>
        <v>265200</v>
      </c>
      <c r="W56" s="137">
        <v>265200</v>
      </c>
      <c r="X56" s="132"/>
      <c r="Y56" s="138">
        <f t="shared" si="15"/>
        <v>265200</v>
      </c>
      <c r="Z56" s="174"/>
      <c r="AA56" s="148"/>
    </row>
    <row r="57" spans="2:27" ht="22.5" customHeight="1" x14ac:dyDescent="0.25">
      <c r="B57" s="178" t="s">
        <v>93</v>
      </c>
      <c r="C57" s="188" t="s">
        <v>110</v>
      </c>
      <c r="D57" s="189"/>
      <c r="E57" s="132"/>
      <c r="F57" s="132"/>
      <c r="G57" s="132"/>
      <c r="H57" s="133"/>
      <c r="I57" s="132"/>
      <c r="J57" s="132"/>
      <c r="K57" s="132"/>
      <c r="L57" s="134">
        <v>2352001</v>
      </c>
      <c r="M57" s="135">
        <v>35700</v>
      </c>
      <c r="N57" s="137">
        <v>-4500</v>
      </c>
      <c r="O57" s="136">
        <f t="shared" si="13"/>
        <v>31200</v>
      </c>
      <c r="P57" s="137">
        <v>31200</v>
      </c>
      <c r="Q57" s="132"/>
      <c r="R57" s="138">
        <f t="shared" si="11"/>
        <v>31200</v>
      </c>
      <c r="S57" s="190"/>
      <c r="T57" s="135">
        <v>31200</v>
      </c>
      <c r="U57" s="132"/>
      <c r="V57" s="136">
        <f t="shared" si="17"/>
        <v>31200</v>
      </c>
      <c r="W57" s="137">
        <v>31200</v>
      </c>
      <c r="X57" s="132"/>
      <c r="Y57" s="138">
        <f t="shared" si="15"/>
        <v>31200</v>
      </c>
      <c r="Z57" s="174"/>
      <c r="AA57" s="148"/>
    </row>
    <row r="58" spans="2:27" ht="22.5" customHeight="1" x14ac:dyDescent="0.25">
      <c r="B58" s="173" t="s">
        <v>93</v>
      </c>
      <c r="C58" s="188" t="s">
        <v>111</v>
      </c>
      <c r="D58" s="189"/>
      <c r="E58" s="132"/>
      <c r="F58" s="132"/>
      <c r="G58" s="132"/>
      <c r="H58" s="133"/>
      <c r="I58" s="132"/>
      <c r="J58" s="132"/>
      <c r="K58" s="132"/>
      <c r="L58" s="134">
        <v>2391102</v>
      </c>
      <c r="M58" s="135">
        <v>23575</v>
      </c>
      <c r="N58" s="137">
        <v>-5375</v>
      </c>
      <c r="O58" s="136">
        <f t="shared" si="13"/>
        <v>18200</v>
      </c>
      <c r="P58" s="137">
        <v>18200</v>
      </c>
      <c r="Q58" s="132"/>
      <c r="R58" s="138">
        <f t="shared" si="11"/>
        <v>18200</v>
      </c>
      <c r="S58" s="190"/>
      <c r="T58" s="135">
        <v>18200</v>
      </c>
      <c r="U58" s="132"/>
      <c r="V58" s="136">
        <f t="shared" si="17"/>
        <v>18200</v>
      </c>
      <c r="W58" s="137">
        <v>18200</v>
      </c>
      <c r="X58" s="132"/>
      <c r="Y58" s="138">
        <f t="shared" si="15"/>
        <v>18200</v>
      </c>
      <c r="Z58" s="174"/>
      <c r="AA58" s="148"/>
    </row>
    <row r="59" spans="2:27" ht="22.5" customHeight="1" x14ac:dyDescent="0.25">
      <c r="B59" s="173" t="s">
        <v>93</v>
      </c>
      <c r="C59" s="188" t="s">
        <v>112</v>
      </c>
      <c r="D59" s="189"/>
      <c r="E59" s="132"/>
      <c r="F59" s="132"/>
      <c r="G59" s="132"/>
      <c r="H59" s="133"/>
      <c r="I59" s="132"/>
      <c r="J59" s="132"/>
      <c r="K59" s="132"/>
      <c r="L59" s="134">
        <v>2712010</v>
      </c>
      <c r="M59" s="135">
        <v>75825</v>
      </c>
      <c r="N59" s="137">
        <v>-36825</v>
      </c>
      <c r="O59" s="136">
        <f t="shared" si="13"/>
        <v>39000</v>
      </c>
      <c r="P59" s="137">
        <v>39000</v>
      </c>
      <c r="Q59" s="132"/>
      <c r="R59" s="138">
        <f t="shared" si="11"/>
        <v>39000</v>
      </c>
      <c r="S59" s="190"/>
      <c r="T59" s="135">
        <v>39000</v>
      </c>
      <c r="U59" s="132"/>
      <c r="V59" s="136">
        <f t="shared" si="17"/>
        <v>39000</v>
      </c>
      <c r="W59" s="137">
        <v>39000</v>
      </c>
      <c r="X59" s="132"/>
      <c r="Y59" s="138">
        <f t="shared" si="15"/>
        <v>39000</v>
      </c>
      <c r="Z59" s="174"/>
      <c r="AA59" s="148"/>
    </row>
    <row r="60" spans="2:27" ht="37.5" customHeight="1" x14ac:dyDescent="0.25">
      <c r="B60" s="169" t="s">
        <v>113</v>
      </c>
      <c r="C60" s="121" t="s">
        <v>114</v>
      </c>
      <c r="D60" s="121">
        <v>1</v>
      </c>
      <c r="E60" s="122">
        <v>13500000</v>
      </c>
      <c r="F60" s="122">
        <f>SUM(F61:F129)</f>
        <v>22988119</v>
      </c>
      <c r="G60" s="122">
        <f>SUM(G61:G129)</f>
        <v>7056896.6399999997</v>
      </c>
      <c r="H60" s="122">
        <f>SUM(H61:H129)</f>
        <v>0</v>
      </c>
      <c r="I60" s="122">
        <f>SUM(I61:I129)</f>
        <v>0</v>
      </c>
      <c r="J60" s="122">
        <f>SUM(J61:J129)</f>
        <v>0</v>
      </c>
      <c r="K60" s="122">
        <f>E60+F60-G60-I60+J60</f>
        <v>29431222.359999999</v>
      </c>
      <c r="L60" s="123" t="s">
        <v>95</v>
      </c>
      <c r="M60" s="125">
        <f>SUM(M61:M130)</f>
        <v>34884898</v>
      </c>
      <c r="N60" s="125">
        <f>SUM(N61:N130)</f>
        <v>-5453676</v>
      </c>
      <c r="O60" s="126">
        <f t="shared" si="13"/>
        <v>29431222</v>
      </c>
      <c r="P60" s="144">
        <f>SUM(P61:P130)</f>
        <v>29431222</v>
      </c>
      <c r="Q60" s="122">
        <f>SUM(Q61:Q130)</f>
        <v>0</v>
      </c>
      <c r="R60" s="127">
        <f t="shared" si="11"/>
        <v>29431222</v>
      </c>
      <c r="S60" s="145">
        <f>+K60-R60</f>
        <v>0.35999999940395355</v>
      </c>
      <c r="T60" s="125">
        <f>SUM(T61:T130)</f>
        <v>25072550</v>
      </c>
      <c r="U60" s="122">
        <f>SUM(U61:U130)</f>
        <v>1267423</v>
      </c>
      <c r="V60" s="126">
        <f>T60+U60</f>
        <v>26339973</v>
      </c>
      <c r="W60" s="144">
        <f>SUM(W61:W130)</f>
        <v>25072550</v>
      </c>
      <c r="X60" s="122">
        <f>SUM(X61:X130)</f>
        <v>1267423</v>
      </c>
      <c r="Y60" s="127">
        <f>W60+X60</f>
        <v>26339973</v>
      </c>
      <c r="Z60" s="171">
        <f>SUM(Z61:Z130)</f>
        <v>0</v>
      </c>
      <c r="AA60" s="172">
        <f>SUM(AA61:AA130)</f>
        <v>3091249</v>
      </c>
    </row>
    <row r="61" spans="2:27" ht="18" customHeight="1" x14ac:dyDescent="0.25">
      <c r="B61" s="173" t="s">
        <v>113</v>
      </c>
      <c r="C61" s="131" t="s">
        <v>115</v>
      </c>
      <c r="D61" s="131">
        <v>1</v>
      </c>
      <c r="E61" s="132"/>
      <c r="F61" s="132">
        <f>12988119</f>
        <v>12988119</v>
      </c>
      <c r="G61" s="132"/>
      <c r="H61" s="133"/>
      <c r="I61" s="132"/>
      <c r="J61" s="132"/>
      <c r="K61" s="132"/>
      <c r="L61" s="134"/>
      <c r="M61" s="135"/>
      <c r="N61" s="132"/>
      <c r="O61" s="136"/>
      <c r="P61" s="137"/>
      <c r="Q61" s="132"/>
      <c r="R61" s="138"/>
      <c r="S61" s="190"/>
      <c r="T61" s="135"/>
      <c r="U61" s="132"/>
      <c r="V61" s="136"/>
      <c r="W61" s="137"/>
      <c r="X61" s="132"/>
      <c r="Y61" s="191"/>
      <c r="Z61" s="174"/>
      <c r="AA61" s="148"/>
    </row>
    <row r="62" spans="2:27" ht="18" customHeight="1" x14ac:dyDescent="0.25">
      <c r="B62" s="173" t="s">
        <v>113</v>
      </c>
      <c r="C62" s="131" t="s">
        <v>116</v>
      </c>
      <c r="D62" s="131">
        <v>1</v>
      </c>
      <c r="E62" s="132"/>
      <c r="F62" s="132">
        <v>10000000</v>
      </c>
      <c r="G62" s="132"/>
      <c r="H62" s="133"/>
      <c r="I62" s="132"/>
      <c r="J62" s="132"/>
      <c r="K62" s="132"/>
      <c r="L62" s="134"/>
      <c r="M62" s="135"/>
      <c r="N62" s="132"/>
      <c r="O62" s="136"/>
      <c r="P62" s="137"/>
      <c r="Q62" s="132"/>
      <c r="R62" s="138"/>
      <c r="S62" s="190"/>
      <c r="T62" s="135"/>
      <c r="U62" s="132"/>
      <c r="V62" s="136"/>
      <c r="W62" s="137"/>
      <c r="X62" s="132"/>
      <c r="Y62" s="191"/>
      <c r="Z62" s="174"/>
      <c r="AA62" s="148"/>
    </row>
    <row r="63" spans="2:27" ht="18" customHeight="1" x14ac:dyDescent="0.25">
      <c r="B63" s="173" t="s">
        <v>113</v>
      </c>
      <c r="C63" s="175" t="s">
        <v>97</v>
      </c>
      <c r="D63" s="131"/>
      <c r="E63" s="132"/>
      <c r="F63" s="132"/>
      <c r="G63" s="132">
        <v>7056896.6399999997</v>
      </c>
      <c r="H63" s="133"/>
      <c r="I63" s="132"/>
      <c r="J63" s="132"/>
      <c r="K63" s="132"/>
      <c r="L63" s="134"/>
      <c r="M63" s="135"/>
      <c r="N63" s="132"/>
      <c r="O63" s="136"/>
      <c r="P63" s="137"/>
      <c r="Q63" s="132"/>
      <c r="R63" s="138"/>
      <c r="S63" s="190"/>
      <c r="T63" s="135"/>
      <c r="U63" s="132"/>
      <c r="V63" s="136"/>
      <c r="W63" s="137"/>
      <c r="X63" s="132"/>
      <c r="Y63" s="191"/>
      <c r="Z63" s="174"/>
      <c r="AA63" s="148"/>
    </row>
    <row r="64" spans="2:27" ht="18" customHeight="1" x14ac:dyDescent="0.25">
      <c r="B64" s="173" t="s">
        <v>113</v>
      </c>
      <c r="C64" s="131" t="s">
        <v>117</v>
      </c>
      <c r="D64" s="131">
        <v>1</v>
      </c>
      <c r="E64" s="132"/>
      <c r="F64" s="132">
        <v>0</v>
      </c>
      <c r="G64" s="132">
        <v>0</v>
      </c>
      <c r="H64" s="133">
        <v>0</v>
      </c>
      <c r="I64" s="132">
        <v>0</v>
      </c>
      <c r="J64" s="132">
        <v>0</v>
      </c>
      <c r="K64" s="132"/>
      <c r="L64" s="134">
        <v>3212899</v>
      </c>
      <c r="M64" s="135">
        <v>37900</v>
      </c>
      <c r="N64" s="132"/>
      <c r="O64" s="136">
        <f t="shared" si="13"/>
        <v>37900</v>
      </c>
      <c r="P64" s="137">
        <v>37900</v>
      </c>
      <c r="Q64" s="132"/>
      <c r="R64" s="138">
        <f t="shared" si="11"/>
        <v>37900</v>
      </c>
      <c r="S64" s="190">
        <v>0</v>
      </c>
      <c r="T64" s="135">
        <v>37900</v>
      </c>
      <c r="U64" s="132"/>
      <c r="V64" s="136">
        <f>+T64+U64</f>
        <v>37900</v>
      </c>
      <c r="W64" s="137">
        <v>37900</v>
      </c>
      <c r="X64" s="132"/>
      <c r="Y64" s="138">
        <f t="shared" si="5"/>
        <v>37900</v>
      </c>
      <c r="Z64" s="174">
        <f>+U64-X64</f>
        <v>0</v>
      </c>
      <c r="AA64" s="148"/>
    </row>
    <row r="65" spans="2:27" ht="18" customHeight="1" x14ac:dyDescent="0.25">
      <c r="B65" s="173" t="s">
        <v>113</v>
      </c>
      <c r="C65" s="131" t="s">
        <v>118</v>
      </c>
      <c r="D65" s="131">
        <v>1</v>
      </c>
      <c r="E65" s="132"/>
      <c r="F65" s="132"/>
      <c r="G65" s="132"/>
      <c r="H65" s="133"/>
      <c r="I65" s="132"/>
      <c r="J65" s="132"/>
      <c r="K65" s="132"/>
      <c r="L65" s="134">
        <v>3219302</v>
      </c>
      <c r="M65" s="135">
        <v>145800</v>
      </c>
      <c r="N65" s="132"/>
      <c r="O65" s="136">
        <f t="shared" si="13"/>
        <v>145800</v>
      </c>
      <c r="P65" s="137">
        <v>145800</v>
      </c>
      <c r="Q65" s="132"/>
      <c r="R65" s="138">
        <f t="shared" si="11"/>
        <v>145800</v>
      </c>
      <c r="S65" s="190"/>
      <c r="T65" s="135">
        <v>145800</v>
      </c>
      <c r="U65" s="132"/>
      <c r="V65" s="136">
        <f t="shared" ref="V65:V128" si="18">+T65+U65</f>
        <v>145800</v>
      </c>
      <c r="W65" s="137">
        <v>145800</v>
      </c>
      <c r="X65" s="132"/>
      <c r="Y65" s="138">
        <f t="shared" si="5"/>
        <v>145800</v>
      </c>
      <c r="Z65" s="174">
        <f>+U65-X65</f>
        <v>0</v>
      </c>
      <c r="AA65" s="148"/>
    </row>
    <row r="66" spans="2:27" ht="18" customHeight="1" x14ac:dyDescent="0.25">
      <c r="B66" s="173" t="s">
        <v>113</v>
      </c>
      <c r="C66" s="131" t="s">
        <v>119</v>
      </c>
      <c r="D66" s="131">
        <v>1</v>
      </c>
      <c r="E66" s="132"/>
      <c r="F66" s="132"/>
      <c r="G66" s="132"/>
      <c r="H66" s="133"/>
      <c r="I66" s="132"/>
      <c r="J66" s="132"/>
      <c r="K66" s="132"/>
      <c r="L66" s="134">
        <v>3215317</v>
      </c>
      <c r="M66" s="135">
        <v>267500</v>
      </c>
      <c r="N66" s="132"/>
      <c r="O66" s="136">
        <f t="shared" si="13"/>
        <v>267500</v>
      </c>
      <c r="P66" s="137">
        <v>267500</v>
      </c>
      <c r="Q66" s="132"/>
      <c r="R66" s="138">
        <f t="shared" si="11"/>
        <v>267500</v>
      </c>
      <c r="S66" s="190"/>
      <c r="T66" s="135">
        <v>267500</v>
      </c>
      <c r="U66" s="132"/>
      <c r="V66" s="136">
        <f t="shared" si="18"/>
        <v>267500</v>
      </c>
      <c r="W66" s="137">
        <v>267500</v>
      </c>
      <c r="X66" s="132"/>
      <c r="Y66" s="138">
        <f t="shared" si="5"/>
        <v>267500</v>
      </c>
      <c r="Z66" s="174"/>
      <c r="AA66" s="148"/>
    </row>
    <row r="67" spans="2:27" ht="18" customHeight="1" x14ac:dyDescent="0.25">
      <c r="B67" s="173" t="s">
        <v>113</v>
      </c>
      <c r="C67" s="131" t="s">
        <v>120</v>
      </c>
      <c r="D67" s="131">
        <v>1</v>
      </c>
      <c r="E67" s="132"/>
      <c r="F67" s="132"/>
      <c r="G67" s="132"/>
      <c r="H67" s="133"/>
      <c r="I67" s="132"/>
      <c r="J67" s="132"/>
      <c r="K67" s="132"/>
      <c r="L67" s="134">
        <v>3310201</v>
      </c>
      <c r="M67" s="135">
        <v>175000</v>
      </c>
      <c r="N67" s="132"/>
      <c r="O67" s="136">
        <f t="shared" si="13"/>
        <v>175000</v>
      </c>
      <c r="P67" s="137">
        <v>175000</v>
      </c>
      <c r="Q67" s="132"/>
      <c r="R67" s="138">
        <f t="shared" si="11"/>
        <v>175000</v>
      </c>
      <c r="S67" s="190"/>
      <c r="T67" s="135">
        <v>175000</v>
      </c>
      <c r="U67" s="132"/>
      <c r="V67" s="136">
        <f t="shared" si="18"/>
        <v>175000</v>
      </c>
      <c r="W67" s="137">
        <v>175000</v>
      </c>
      <c r="X67" s="132"/>
      <c r="Y67" s="138">
        <f t="shared" si="5"/>
        <v>175000</v>
      </c>
      <c r="Z67" s="174"/>
      <c r="AA67" s="148"/>
    </row>
    <row r="68" spans="2:27" ht="18" customHeight="1" x14ac:dyDescent="0.25">
      <c r="B68" s="173" t="s">
        <v>113</v>
      </c>
      <c r="C68" s="131" t="s">
        <v>121</v>
      </c>
      <c r="D68" s="131">
        <v>1</v>
      </c>
      <c r="E68" s="132"/>
      <c r="F68" s="132"/>
      <c r="G68" s="132"/>
      <c r="H68" s="133"/>
      <c r="I68" s="132"/>
      <c r="J68" s="132"/>
      <c r="K68" s="132"/>
      <c r="L68" s="134" t="s">
        <v>122</v>
      </c>
      <c r="M68" s="135">
        <v>6000</v>
      </c>
      <c r="N68" s="132"/>
      <c r="O68" s="136">
        <f t="shared" si="13"/>
        <v>6000</v>
      </c>
      <c r="P68" s="137">
        <v>6000</v>
      </c>
      <c r="Q68" s="132"/>
      <c r="R68" s="138">
        <f t="shared" si="11"/>
        <v>6000</v>
      </c>
      <c r="S68" s="190"/>
      <c r="T68" s="135">
        <v>6000</v>
      </c>
      <c r="U68" s="132"/>
      <c r="V68" s="136">
        <f t="shared" si="18"/>
        <v>6000</v>
      </c>
      <c r="W68" s="137">
        <v>6000</v>
      </c>
      <c r="X68" s="132"/>
      <c r="Y68" s="138">
        <f t="shared" si="5"/>
        <v>6000</v>
      </c>
      <c r="Z68" s="174"/>
      <c r="AA68" s="148"/>
    </row>
    <row r="69" spans="2:27" ht="18" customHeight="1" x14ac:dyDescent="0.25">
      <c r="B69" s="173" t="s">
        <v>113</v>
      </c>
      <c r="C69" s="131" t="s">
        <v>123</v>
      </c>
      <c r="D69" s="131">
        <v>1</v>
      </c>
      <c r="E69" s="132"/>
      <c r="F69" s="132"/>
      <c r="G69" s="132"/>
      <c r="H69" s="133"/>
      <c r="I69" s="132"/>
      <c r="J69" s="132"/>
      <c r="K69" s="132"/>
      <c r="L69" s="134">
        <v>3532212</v>
      </c>
      <c r="M69" s="135">
        <v>24300</v>
      </c>
      <c r="N69" s="132"/>
      <c r="O69" s="136">
        <f t="shared" si="13"/>
        <v>24300</v>
      </c>
      <c r="P69" s="137">
        <v>24300</v>
      </c>
      <c r="Q69" s="132"/>
      <c r="R69" s="138">
        <f t="shared" si="11"/>
        <v>24300</v>
      </c>
      <c r="S69" s="190"/>
      <c r="T69" s="135">
        <v>24300</v>
      </c>
      <c r="U69" s="132"/>
      <c r="V69" s="136">
        <f t="shared" si="18"/>
        <v>24300</v>
      </c>
      <c r="W69" s="137">
        <v>24300</v>
      </c>
      <c r="X69" s="132"/>
      <c r="Y69" s="138">
        <f t="shared" si="5"/>
        <v>24300</v>
      </c>
      <c r="Z69" s="174"/>
      <c r="AA69" s="148"/>
    </row>
    <row r="70" spans="2:27" ht="18" customHeight="1" x14ac:dyDescent="0.25">
      <c r="B70" s="173" t="s">
        <v>113</v>
      </c>
      <c r="C70" s="131" t="s">
        <v>124</v>
      </c>
      <c r="D70" s="131">
        <v>1</v>
      </c>
      <c r="E70" s="132"/>
      <c r="F70" s="132"/>
      <c r="G70" s="132"/>
      <c r="H70" s="133"/>
      <c r="I70" s="132"/>
      <c r="J70" s="132"/>
      <c r="K70" s="132"/>
      <c r="L70" s="134">
        <v>3891104</v>
      </c>
      <c r="M70" s="135">
        <v>3500</v>
      </c>
      <c r="N70" s="132"/>
      <c r="O70" s="136">
        <f t="shared" si="13"/>
        <v>3500</v>
      </c>
      <c r="P70" s="137">
        <v>3500</v>
      </c>
      <c r="Q70" s="132"/>
      <c r="R70" s="138">
        <f t="shared" si="11"/>
        <v>3500</v>
      </c>
      <c r="S70" s="190"/>
      <c r="T70" s="135">
        <v>3500</v>
      </c>
      <c r="U70" s="132"/>
      <c r="V70" s="136">
        <f t="shared" si="18"/>
        <v>3500</v>
      </c>
      <c r="W70" s="137">
        <v>3500</v>
      </c>
      <c r="X70" s="132"/>
      <c r="Y70" s="138">
        <f t="shared" si="5"/>
        <v>3500</v>
      </c>
      <c r="Z70" s="174"/>
      <c r="AA70" s="148"/>
    </row>
    <row r="71" spans="2:27" ht="18" customHeight="1" x14ac:dyDescent="0.25">
      <c r="B71" s="173" t="s">
        <v>113</v>
      </c>
      <c r="C71" s="131" t="s">
        <v>125</v>
      </c>
      <c r="D71" s="131">
        <v>1</v>
      </c>
      <c r="E71" s="132"/>
      <c r="F71" s="132"/>
      <c r="G71" s="132"/>
      <c r="H71" s="133"/>
      <c r="I71" s="132"/>
      <c r="J71" s="132"/>
      <c r="K71" s="132"/>
      <c r="L71" s="134">
        <v>3626001</v>
      </c>
      <c r="M71" s="135">
        <v>4100</v>
      </c>
      <c r="N71" s="132"/>
      <c r="O71" s="136">
        <f t="shared" si="13"/>
        <v>4100</v>
      </c>
      <c r="P71" s="137">
        <v>4100</v>
      </c>
      <c r="Q71" s="132"/>
      <c r="R71" s="138">
        <f t="shared" si="11"/>
        <v>4100</v>
      </c>
      <c r="S71" s="190"/>
      <c r="T71" s="135">
        <v>4100</v>
      </c>
      <c r="U71" s="132"/>
      <c r="V71" s="136">
        <f t="shared" si="18"/>
        <v>4100</v>
      </c>
      <c r="W71" s="137">
        <v>4100</v>
      </c>
      <c r="X71" s="132"/>
      <c r="Y71" s="138">
        <f t="shared" si="5"/>
        <v>4100</v>
      </c>
      <c r="Z71" s="174"/>
      <c r="AA71" s="148"/>
    </row>
    <row r="72" spans="2:27" ht="18" customHeight="1" x14ac:dyDescent="0.25">
      <c r="B72" s="173" t="s">
        <v>113</v>
      </c>
      <c r="C72" s="131" t="s">
        <v>126</v>
      </c>
      <c r="D72" s="131">
        <v>1</v>
      </c>
      <c r="E72" s="132"/>
      <c r="F72" s="132"/>
      <c r="G72" s="132"/>
      <c r="H72" s="133"/>
      <c r="I72" s="132"/>
      <c r="J72" s="132"/>
      <c r="K72" s="132"/>
      <c r="L72" s="134">
        <v>3532101</v>
      </c>
      <c r="M72" s="135">
        <v>6900</v>
      </c>
      <c r="N72" s="132"/>
      <c r="O72" s="136">
        <f t="shared" si="13"/>
        <v>6900</v>
      </c>
      <c r="P72" s="137">
        <v>6900</v>
      </c>
      <c r="Q72" s="132"/>
      <c r="R72" s="138">
        <f t="shared" si="11"/>
        <v>6900</v>
      </c>
      <c r="S72" s="190"/>
      <c r="T72" s="135">
        <v>6900</v>
      </c>
      <c r="U72" s="132"/>
      <c r="V72" s="136">
        <f t="shared" si="18"/>
        <v>6900</v>
      </c>
      <c r="W72" s="137">
        <v>6900</v>
      </c>
      <c r="X72" s="132"/>
      <c r="Y72" s="138">
        <f t="shared" si="5"/>
        <v>6900</v>
      </c>
      <c r="Z72" s="174"/>
      <c r="AA72" s="148"/>
    </row>
    <row r="73" spans="2:27" ht="18" customHeight="1" x14ac:dyDescent="0.25">
      <c r="B73" s="173" t="s">
        <v>113</v>
      </c>
      <c r="C73" s="131" t="s">
        <v>127</v>
      </c>
      <c r="D73" s="131">
        <v>1</v>
      </c>
      <c r="E73" s="132"/>
      <c r="F73" s="132"/>
      <c r="G73" s="132"/>
      <c r="H73" s="133"/>
      <c r="I73" s="132"/>
      <c r="J73" s="132"/>
      <c r="K73" s="132"/>
      <c r="L73" s="134">
        <v>3692007</v>
      </c>
      <c r="M73" s="135">
        <v>16500</v>
      </c>
      <c r="N73" s="132"/>
      <c r="O73" s="136">
        <f t="shared" si="13"/>
        <v>16500</v>
      </c>
      <c r="P73" s="137">
        <v>16500</v>
      </c>
      <c r="Q73" s="132"/>
      <c r="R73" s="138">
        <f t="shared" si="11"/>
        <v>16500</v>
      </c>
      <c r="S73" s="190"/>
      <c r="T73" s="135">
        <v>16500</v>
      </c>
      <c r="U73" s="132"/>
      <c r="V73" s="136">
        <f t="shared" si="18"/>
        <v>16500</v>
      </c>
      <c r="W73" s="137">
        <v>16500</v>
      </c>
      <c r="X73" s="132"/>
      <c r="Y73" s="138">
        <f t="shared" si="5"/>
        <v>16500</v>
      </c>
      <c r="Z73" s="174"/>
      <c r="AA73" s="148"/>
    </row>
    <row r="74" spans="2:27" ht="18" customHeight="1" x14ac:dyDescent="0.25">
      <c r="B74" s="173" t="s">
        <v>113</v>
      </c>
      <c r="C74" s="131" t="s">
        <v>128</v>
      </c>
      <c r="D74" s="131">
        <v>1</v>
      </c>
      <c r="E74" s="132"/>
      <c r="F74" s="132"/>
      <c r="G74" s="132"/>
      <c r="H74" s="133"/>
      <c r="I74" s="132"/>
      <c r="J74" s="132"/>
      <c r="K74" s="132"/>
      <c r="L74" s="134">
        <v>3626001</v>
      </c>
      <c r="M74" s="135">
        <v>5600</v>
      </c>
      <c r="N74" s="132"/>
      <c r="O74" s="136">
        <f t="shared" si="13"/>
        <v>5600</v>
      </c>
      <c r="P74" s="137">
        <v>5600</v>
      </c>
      <c r="Q74" s="132"/>
      <c r="R74" s="138">
        <f t="shared" si="11"/>
        <v>5600</v>
      </c>
      <c r="S74" s="190"/>
      <c r="T74" s="135">
        <v>5600</v>
      </c>
      <c r="U74" s="132"/>
      <c r="V74" s="136">
        <f t="shared" si="18"/>
        <v>5600</v>
      </c>
      <c r="W74" s="137">
        <v>5600</v>
      </c>
      <c r="X74" s="132"/>
      <c r="Y74" s="138">
        <f t="shared" si="5"/>
        <v>5600</v>
      </c>
      <c r="Z74" s="174"/>
      <c r="AA74" s="148"/>
    </row>
    <row r="75" spans="2:27" ht="18" customHeight="1" x14ac:dyDescent="0.25">
      <c r="B75" s="173" t="s">
        <v>113</v>
      </c>
      <c r="C75" s="131" t="s">
        <v>129</v>
      </c>
      <c r="D75" s="131">
        <v>1</v>
      </c>
      <c r="E75" s="132"/>
      <c r="F75" s="132"/>
      <c r="G75" s="132"/>
      <c r="H75" s="133"/>
      <c r="I75" s="132"/>
      <c r="J75" s="132"/>
      <c r="K75" s="132"/>
      <c r="L75" s="134">
        <v>3212897</v>
      </c>
      <c r="M75" s="135">
        <v>200000</v>
      </c>
      <c r="N75" s="132"/>
      <c r="O75" s="136">
        <f t="shared" si="13"/>
        <v>200000</v>
      </c>
      <c r="P75" s="137">
        <v>200000</v>
      </c>
      <c r="Q75" s="132"/>
      <c r="R75" s="138">
        <f t="shared" si="11"/>
        <v>200000</v>
      </c>
      <c r="S75" s="190"/>
      <c r="T75" s="135">
        <v>200000</v>
      </c>
      <c r="U75" s="132"/>
      <c r="V75" s="136">
        <f t="shared" si="18"/>
        <v>200000</v>
      </c>
      <c r="W75" s="137">
        <v>200000</v>
      </c>
      <c r="X75" s="132"/>
      <c r="Y75" s="138">
        <f t="shared" si="5"/>
        <v>200000</v>
      </c>
      <c r="Z75" s="174"/>
      <c r="AA75" s="148"/>
    </row>
    <row r="76" spans="2:27" ht="18" customHeight="1" x14ac:dyDescent="0.25">
      <c r="B76" s="173" t="s">
        <v>113</v>
      </c>
      <c r="C76" s="131" t="s">
        <v>130</v>
      </c>
      <c r="D76" s="131">
        <v>1</v>
      </c>
      <c r="E76" s="132"/>
      <c r="F76" s="132"/>
      <c r="G76" s="132"/>
      <c r="H76" s="133"/>
      <c r="I76" s="132"/>
      <c r="J76" s="132"/>
      <c r="K76" s="132"/>
      <c r="L76" s="134">
        <v>3641001</v>
      </c>
      <c r="M76" s="135">
        <v>89800</v>
      </c>
      <c r="N76" s="132"/>
      <c r="O76" s="136">
        <f t="shared" si="13"/>
        <v>89800</v>
      </c>
      <c r="P76" s="137">
        <v>89800</v>
      </c>
      <c r="Q76" s="132"/>
      <c r="R76" s="138">
        <f t="shared" si="11"/>
        <v>89800</v>
      </c>
      <c r="S76" s="190"/>
      <c r="T76" s="135">
        <v>89800</v>
      </c>
      <c r="U76" s="132"/>
      <c r="V76" s="136">
        <f t="shared" si="18"/>
        <v>89800</v>
      </c>
      <c r="W76" s="137">
        <v>89800</v>
      </c>
      <c r="X76" s="132"/>
      <c r="Y76" s="138">
        <f t="shared" si="5"/>
        <v>89800</v>
      </c>
      <c r="Z76" s="174"/>
      <c r="AA76" s="148"/>
    </row>
    <row r="77" spans="2:27" ht="18" customHeight="1" x14ac:dyDescent="0.25">
      <c r="B77" s="173" t="s">
        <v>113</v>
      </c>
      <c r="C77" s="131" t="s">
        <v>131</v>
      </c>
      <c r="D77" s="131">
        <v>1</v>
      </c>
      <c r="E77" s="132"/>
      <c r="F77" s="132"/>
      <c r="G77" s="132"/>
      <c r="H77" s="133"/>
      <c r="I77" s="132"/>
      <c r="J77" s="132"/>
      <c r="K77" s="132"/>
      <c r="L77" s="134">
        <v>3532209</v>
      </c>
      <c r="M77" s="135">
        <v>32200</v>
      </c>
      <c r="N77" s="132"/>
      <c r="O77" s="136">
        <f t="shared" si="13"/>
        <v>32200</v>
      </c>
      <c r="P77" s="137">
        <v>32200</v>
      </c>
      <c r="Q77" s="132"/>
      <c r="R77" s="138">
        <f t="shared" si="11"/>
        <v>32200</v>
      </c>
      <c r="S77" s="190"/>
      <c r="T77" s="135">
        <v>32200</v>
      </c>
      <c r="U77" s="132"/>
      <c r="V77" s="136">
        <f t="shared" si="18"/>
        <v>32200</v>
      </c>
      <c r="W77" s="137">
        <v>32200</v>
      </c>
      <c r="X77" s="132"/>
      <c r="Y77" s="138">
        <f t="shared" si="5"/>
        <v>32200</v>
      </c>
      <c r="Z77" s="174"/>
      <c r="AA77" s="148"/>
    </row>
    <row r="78" spans="2:27" ht="18" customHeight="1" x14ac:dyDescent="0.25">
      <c r="B78" s="173" t="s">
        <v>113</v>
      </c>
      <c r="C78" s="131" t="s">
        <v>132</v>
      </c>
      <c r="D78" s="131">
        <v>1</v>
      </c>
      <c r="E78" s="132"/>
      <c r="F78" s="132"/>
      <c r="G78" s="132"/>
      <c r="H78" s="133"/>
      <c r="I78" s="132"/>
      <c r="J78" s="132"/>
      <c r="K78" s="132"/>
      <c r="L78" s="134">
        <v>3532204</v>
      </c>
      <c r="M78" s="135">
        <v>89500</v>
      </c>
      <c r="N78" s="132"/>
      <c r="O78" s="136">
        <f t="shared" si="13"/>
        <v>89500</v>
      </c>
      <c r="P78" s="137">
        <v>89500</v>
      </c>
      <c r="Q78" s="132"/>
      <c r="R78" s="138">
        <f t="shared" si="11"/>
        <v>89500</v>
      </c>
      <c r="S78" s="190"/>
      <c r="T78" s="135">
        <v>89500</v>
      </c>
      <c r="U78" s="132"/>
      <c r="V78" s="136">
        <f t="shared" si="18"/>
        <v>89500</v>
      </c>
      <c r="W78" s="137">
        <v>89500</v>
      </c>
      <c r="X78" s="132"/>
      <c r="Y78" s="138">
        <f t="shared" si="5"/>
        <v>89500</v>
      </c>
      <c r="Z78" s="174"/>
      <c r="AA78" s="148"/>
    </row>
    <row r="79" spans="2:27" ht="18" customHeight="1" x14ac:dyDescent="0.25">
      <c r="B79" s="173" t="s">
        <v>113</v>
      </c>
      <c r="C79" s="131" t="s">
        <v>133</v>
      </c>
      <c r="D79" s="131">
        <v>1</v>
      </c>
      <c r="E79" s="132"/>
      <c r="F79" s="132"/>
      <c r="G79" s="132"/>
      <c r="H79" s="133"/>
      <c r="I79" s="132"/>
      <c r="J79" s="132"/>
      <c r="K79" s="132"/>
      <c r="L79" s="134">
        <v>3213102</v>
      </c>
      <c r="M79" s="135">
        <v>74100</v>
      </c>
      <c r="N79" s="132"/>
      <c r="O79" s="136">
        <f t="shared" si="13"/>
        <v>74100</v>
      </c>
      <c r="P79" s="137">
        <v>74100</v>
      </c>
      <c r="Q79" s="132"/>
      <c r="R79" s="138">
        <f t="shared" si="11"/>
        <v>74100</v>
      </c>
      <c r="S79" s="190"/>
      <c r="T79" s="135">
        <v>74100</v>
      </c>
      <c r="U79" s="132"/>
      <c r="V79" s="136">
        <f t="shared" si="18"/>
        <v>74100</v>
      </c>
      <c r="W79" s="137">
        <v>74100</v>
      </c>
      <c r="X79" s="132"/>
      <c r="Y79" s="138">
        <f t="shared" si="5"/>
        <v>74100</v>
      </c>
      <c r="Z79" s="174"/>
      <c r="AA79" s="148"/>
    </row>
    <row r="80" spans="2:27" ht="18" customHeight="1" x14ac:dyDescent="0.25">
      <c r="B80" s="173" t="s">
        <v>113</v>
      </c>
      <c r="C80" s="131" t="s">
        <v>134</v>
      </c>
      <c r="D80" s="131">
        <v>1</v>
      </c>
      <c r="E80" s="132"/>
      <c r="F80" s="132"/>
      <c r="G80" s="132"/>
      <c r="H80" s="133"/>
      <c r="I80" s="132"/>
      <c r="J80" s="132"/>
      <c r="K80" s="132"/>
      <c r="L80" s="134">
        <v>3695004</v>
      </c>
      <c r="M80" s="135">
        <v>1400</v>
      </c>
      <c r="N80" s="132"/>
      <c r="O80" s="136">
        <f t="shared" si="13"/>
        <v>1400</v>
      </c>
      <c r="P80" s="137">
        <v>1400</v>
      </c>
      <c r="Q80" s="132"/>
      <c r="R80" s="138">
        <f t="shared" si="11"/>
        <v>1400</v>
      </c>
      <c r="S80" s="190"/>
      <c r="T80" s="135">
        <v>1400</v>
      </c>
      <c r="U80" s="132"/>
      <c r="V80" s="136">
        <f t="shared" si="18"/>
        <v>1400</v>
      </c>
      <c r="W80" s="137">
        <v>1400</v>
      </c>
      <c r="X80" s="132"/>
      <c r="Y80" s="138">
        <f t="shared" si="5"/>
        <v>1400</v>
      </c>
      <c r="Z80" s="174"/>
      <c r="AA80" s="148"/>
    </row>
    <row r="81" spans="2:27" ht="18" customHeight="1" x14ac:dyDescent="0.25">
      <c r="B81" s="173" t="s">
        <v>113</v>
      </c>
      <c r="C81" s="131" t="s">
        <v>135</v>
      </c>
      <c r="D81" s="131">
        <v>1</v>
      </c>
      <c r="E81" s="132"/>
      <c r="F81" s="132"/>
      <c r="G81" s="132"/>
      <c r="H81" s="133"/>
      <c r="I81" s="132"/>
      <c r="J81" s="132"/>
      <c r="K81" s="132"/>
      <c r="L81" s="134">
        <v>3532202</v>
      </c>
      <c r="M81" s="135">
        <v>88200</v>
      </c>
      <c r="N81" s="132"/>
      <c r="O81" s="136">
        <f t="shared" si="13"/>
        <v>88200</v>
      </c>
      <c r="P81" s="137">
        <v>88200</v>
      </c>
      <c r="Q81" s="132"/>
      <c r="R81" s="138">
        <f t="shared" si="11"/>
        <v>88200</v>
      </c>
      <c r="S81" s="190"/>
      <c r="T81" s="135">
        <v>88200</v>
      </c>
      <c r="U81" s="132"/>
      <c r="V81" s="136">
        <f t="shared" si="18"/>
        <v>88200</v>
      </c>
      <c r="W81" s="137">
        <v>88200</v>
      </c>
      <c r="X81" s="132"/>
      <c r="Y81" s="138">
        <f t="shared" si="5"/>
        <v>88200</v>
      </c>
      <c r="Z81" s="174"/>
      <c r="AA81" s="148"/>
    </row>
    <row r="82" spans="2:27" ht="18" customHeight="1" x14ac:dyDescent="0.25">
      <c r="B82" s="173" t="s">
        <v>113</v>
      </c>
      <c r="C82" s="131" t="s">
        <v>136</v>
      </c>
      <c r="D82" s="131">
        <v>1</v>
      </c>
      <c r="E82" s="132"/>
      <c r="F82" s="132"/>
      <c r="G82" s="132"/>
      <c r="H82" s="133"/>
      <c r="I82" s="132"/>
      <c r="J82" s="132"/>
      <c r="K82" s="132"/>
      <c r="L82" s="134">
        <v>3891102</v>
      </c>
      <c r="M82" s="135">
        <v>45000</v>
      </c>
      <c r="N82" s="132"/>
      <c r="O82" s="136">
        <f t="shared" si="13"/>
        <v>45000</v>
      </c>
      <c r="P82" s="137">
        <v>45000</v>
      </c>
      <c r="Q82" s="132"/>
      <c r="R82" s="138">
        <f t="shared" si="11"/>
        <v>45000</v>
      </c>
      <c r="S82" s="190"/>
      <c r="T82" s="135">
        <v>45000</v>
      </c>
      <c r="U82" s="132"/>
      <c r="V82" s="136">
        <f t="shared" si="18"/>
        <v>45000</v>
      </c>
      <c r="W82" s="137">
        <v>45000</v>
      </c>
      <c r="X82" s="132"/>
      <c r="Y82" s="138">
        <f t="shared" si="5"/>
        <v>45000</v>
      </c>
      <c r="Z82" s="174"/>
      <c r="AA82" s="148"/>
    </row>
    <row r="83" spans="2:27" ht="17.25" customHeight="1" x14ac:dyDescent="0.25">
      <c r="B83" s="173" t="s">
        <v>113</v>
      </c>
      <c r="C83" s="131" t="s">
        <v>137</v>
      </c>
      <c r="D83" s="131">
        <v>1</v>
      </c>
      <c r="E83" s="132"/>
      <c r="F83" s="132"/>
      <c r="G83" s="132"/>
      <c r="H83" s="133"/>
      <c r="I83" s="132"/>
      <c r="J83" s="132"/>
      <c r="K83" s="132"/>
      <c r="L83" s="134">
        <v>3891106</v>
      </c>
      <c r="M83" s="135">
        <v>19700</v>
      </c>
      <c r="N83" s="132"/>
      <c r="O83" s="136">
        <f t="shared" si="13"/>
        <v>19700</v>
      </c>
      <c r="P83" s="137">
        <v>19700</v>
      </c>
      <c r="Q83" s="132"/>
      <c r="R83" s="138">
        <f t="shared" si="11"/>
        <v>19700</v>
      </c>
      <c r="S83" s="190"/>
      <c r="T83" s="135">
        <v>19700</v>
      </c>
      <c r="U83" s="132"/>
      <c r="V83" s="136">
        <f t="shared" si="18"/>
        <v>19700</v>
      </c>
      <c r="W83" s="137">
        <v>19700</v>
      </c>
      <c r="X83" s="132"/>
      <c r="Y83" s="138">
        <f t="shared" si="5"/>
        <v>19700</v>
      </c>
      <c r="Z83" s="174"/>
      <c r="AA83" s="148"/>
    </row>
    <row r="84" spans="2:27" ht="17.25" customHeight="1" x14ac:dyDescent="0.25">
      <c r="B84" s="192" t="s">
        <v>113</v>
      </c>
      <c r="C84" s="131" t="s">
        <v>138</v>
      </c>
      <c r="D84" s="193">
        <v>1</v>
      </c>
      <c r="E84" s="132"/>
      <c r="F84" s="132"/>
      <c r="G84" s="132"/>
      <c r="H84" s="133"/>
      <c r="I84" s="132"/>
      <c r="J84" s="132"/>
      <c r="K84" s="132"/>
      <c r="L84" s="134">
        <v>3899906</v>
      </c>
      <c r="M84" s="135">
        <v>100000</v>
      </c>
      <c r="N84" s="132"/>
      <c r="O84" s="136">
        <f t="shared" si="13"/>
        <v>100000</v>
      </c>
      <c r="P84" s="137">
        <v>100000</v>
      </c>
      <c r="Q84" s="132"/>
      <c r="R84" s="138">
        <f t="shared" si="11"/>
        <v>100000</v>
      </c>
      <c r="S84" s="190"/>
      <c r="T84" s="135">
        <v>100000</v>
      </c>
      <c r="U84" s="132"/>
      <c r="V84" s="136">
        <f t="shared" si="18"/>
        <v>100000</v>
      </c>
      <c r="W84" s="137">
        <v>100000</v>
      </c>
      <c r="X84" s="132"/>
      <c r="Y84" s="138">
        <f t="shared" si="5"/>
        <v>100000</v>
      </c>
      <c r="Z84" s="174"/>
      <c r="AA84" s="148"/>
    </row>
    <row r="85" spans="2:27" ht="17.25" customHeight="1" x14ac:dyDescent="0.25">
      <c r="B85" s="192" t="s">
        <v>113</v>
      </c>
      <c r="C85" s="194" t="s">
        <v>139</v>
      </c>
      <c r="D85" s="193">
        <v>1</v>
      </c>
      <c r="E85" s="132"/>
      <c r="F85" s="132">
        <v>0</v>
      </c>
      <c r="G85" s="132">
        <v>0</v>
      </c>
      <c r="H85" s="133">
        <v>0</v>
      </c>
      <c r="I85" s="132">
        <v>0</v>
      </c>
      <c r="J85" s="132">
        <v>0</v>
      </c>
      <c r="K85" s="132"/>
      <c r="L85" s="134">
        <v>3331101</v>
      </c>
      <c r="M85" s="135">
        <v>100000</v>
      </c>
      <c r="N85" s="132"/>
      <c r="O85" s="136">
        <f t="shared" si="13"/>
        <v>100000</v>
      </c>
      <c r="P85" s="137">
        <v>100000</v>
      </c>
      <c r="Q85" s="132"/>
      <c r="R85" s="138">
        <f t="shared" si="11"/>
        <v>100000</v>
      </c>
      <c r="S85" s="190"/>
      <c r="T85" s="135">
        <v>100000</v>
      </c>
      <c r="U85" s="132"/>
      <c r="V85" s="136">
        <f t="shared" si="18"/>
        <v>100000</v>
      </c>
      <c r="W85" s="137">
        <v>100000</v>
      </c>
      <c r="X85" s="132"/>
      <c r="Y85" s="138">
        <f t="shared" si="5"/>
        <v>100000</v>
      </c>
      <c r="Z85" s="174"/>
      <c r="AA85" s="148"/>
    </row>
    <row r="86" spans="2:27" ht="17.25" customHeight="1" x14ac:dyDescent="0.25">
      <c r="B86" s="192" t="s">
        <v>113</v>
      </c>
      <c r="C86" s="194" t="s">
        <v>140</v>
      </c>
      <c r="D86" s="193">
        <v>1</v>
      </c>
      <c r="E86" s="132"/>
      <c r="F86" s="132">
        <v>0</v>
      </c>
      <c r="G86" s="132">
        <v>0</v>
      </c>
      <c r="H86" s="133">
        <v>0</v>
      </c>
      <c r="I86" s="132">
        <v>0</v>
      </c>
      <c r="J86" s="132">
        <v>0</v>
      </c>
      <c r="K86" s="132"/>
      <c r="L86" s="134">
        <v>3513001</v>
      </c>
      <c r="M86" s="135">
        <v>400000</v>
      </c>
      <c r="N86" s="132"/>
      <c r="O86" s="136">
        <f t="shared" si="13"/>
        <v>400000</v>
      </c>
      <c r="P86" s="137">
        <v>400000</v>
      </c>
      <c r="Q86" s="132"/>
      <c r="R86" s="138">
        <f t="shared" si="11"/>
        <v>400000</v>
      </c>
      <c r="S86" s="190"/>
      <c r="T86" s="135">
        <v>400000</v>
      </c>
      <c r="U86" s="132"/>
      <c r="V86" s="136">
        <f t="shared" si="18"/>
        <v>400000</v>
      </c>
      <c r="W86" s="137">
        <v>400000</v>
      </c>
      <c r="X86" s="132"/>
      <c r="Y86" s="138">
        <f t="shared" si="5"/>
        <v>400000</v>
      </c>
      <c r="Z86" s="174"/>
      <c r="AA86" s="148"/>
    </row>
    <row r="87" spans="2:27" ht="17.25" customHeight="1" x14ac:dyDescent="0.25">
      <c r="B87" s="192" t="s">
        <v>113</v>
      </c>
      <c r="C87" s="131" t="s">
        <v>141</v>
      </c>
      <c r="D87" s="193">
        <v>1</v>
      </c>
      <c r="E87" s="132"/>
      <c r="F87" s="132"/>
      <c r="G87" s="132"/>
      <c r="H87" s="133"/>
      <c r="I87" s="132"/>
      <c r="J87" s="132"/>
      <c r="K87" s="132"/>
      <c r="L87" s="195" t="s">
        <v>142</v>
      </c>
      <c r="M87" s="135">
        <v>800952</v>
      </c>
      <c r="N87" s="132"/>
      <c r="O87" s="136">
        <f t="shared" si="13"/>
        <v>800952</v>
      </c>
      <c r="P87" s="137">
        <v>800952</v>
      </c>
      <c r="Q87" s="132"/>
      <c r="R87" s="138">
        <f t="shared" si="11"/>
        <v>800952</v>
      </c>
      <c r="S87" s="190"/>
      <c r="T87" s="135">
        <v>800952</v>
      </c>
      <c r="U87" s="132"/>
      <c r="V87" s="136">
        <f t="shared" si="18"/>
        <v>800952</v>
      </c>
      <c r="W87" s="137">
        <v>800952</v>
      </c>
      <c r="X87" s="132"/>
      <c r="Y87" s="138">
        <f t="shared" si="5"/>
        <v>800952</v>
      </c>
      <c r="Z87" s="174"/>
      <c r="AA87" s="148"/>
    </row>
    <row r="88" spans="2:27" ht="17.25" customHeight="1" x14ac:dyDescent="0.25">
      <c r="B88" s="192" t="s">
        <v>113</v>
      </c>
      <c r="C88" s="194" t="s">
        <v>143</v>
      </c>
      <c r="D88" s="193">
        <v>1</v>
      </c>
      <c r="E88" s="132"/>
      <c r="F88" s="132">
        <v>0</v>
      </c>
      <c r="G88" s="132">
        <v>0</v>
      </c>
      <c r="H88" s="133">
        <v>0</v>
      </c>
      <c r="I88" s="132">
        <v>0</v>
      </c>
      <c r="J88" s="132">
        <v>0</v>
      </c>
      <c r="K88" s="132"/>
      <c r="L88" s="134">
        <v>3331101</v>
      </c>
      <c r="M88" s="135">
        <v>10721763</v>
      </c>
      <c r="N88" s="132">
        <v>-14913</v>
      </c>
      <c r="O88" s="136">
        <f t="shared" si="13"/>
        <v>10706850</v>
      </c>
      <c r="P88" s="137">
        <v>10706850</v>
      </c>
      <c r="Q88" s="132"/>
      <c r="R88" s="138">
        <f t="shared" si="11"/>
        <v>10706850</v>
      </c>
      <c r="S88" s="190"/>
      <c r="T88" s="135">
        <v>6348178</v>
      </c>
      <c r="U88" s="132">
        <v>1267423</v>
      </c>
      <c r="V88" s="136">
        <f t="shared" si="18"/>
        <v>7615601</v>
      </c>
      <c r="W88" s="137">
        <v>6348178</v>
      </c>
      <c r="X88" s="132">
        <v>1267423</v>
      </c>
      <c r="Y88" s="138">
        <f t="shared" si="5"/>
        <v>7615601</v>
      </c>
      <c r="Z88" s="174"/>
      <c r="AA88" s="148">
        <f>R88-Y88</f>
        <v>3091249</v>
      </c>
    </row>
    <row r="89" spans="2:27" ht="17.25" customHeight="1" x14ac:dyDescent="0.25">
      <c r="B89" s="192" t="s">
        <v>113</v>
      </c>
      <c r="C89" s="131" t="s">
        <v>144</v>
      </c>
      <c r="D89" s="193">
        <v>1</v>
      </c>
      <c r="E89" s="132"/>
      <c r="F89" s="132">
        <v>0</v>
      </c>
      <c r="G89" s="132">
        <v>0</v>
      </c>
      <c r="H89" s="133">
        <v>0</v>
      </c>
      <c r="I89" s="132">
        <v>0</v>
      </c>
      <c r="J89" s="132">
        <v>0</v>
      </c>
      <c r="K89" s="132"/>
      <c r="L89" s="134">
        <v>3532201</v>
      </c>
      <c r="M89" s="135">
        <v>31000</v>
      </c>
      <c r="N89" s="132"/>
      <c r="O89" s="136">
        <f t="shared" si="13"/>
        <v>31000</v>
      </c>
      <c r="P89" s="137">
        <v>31000</v>
      </c>
      <c r="Q89" s="132"/>
      <c r="R89" s="138">
        <f t="shared" si="11"/>
        <v>31000</v>
      </c>
      <c r="S89" s="190">
        <v>0</v>
      </c>
      <c r="T89" s="135">
        <v>31000</v>
      </c>
      <c r="U89" s="132"/>
      <c r="V89" s="136">
        <f t="shared" si="18"/>
        <v>31000</v>
      </c>
      <c r="W89" s="137">
        <v>31000</v>
      </c>
      <c r="X89" s="132"/>
      <c r="Y89" s="138">
        <f t="shared" si="5"/>
        <v>31000</v>
      </c>
      <c r="Z89" s="174"/>
      <c r="AA89" s="148"/>
    </row>
    <row r="90" spans="2:27" ht="26.25" customHeight="1" x14ac:dyDescent="0.25">
      <c r="B90" s="192" t="s">
        <v>113</v>
      </c>
      <c r="C90" s="131" t="s">
        <v>145</v>
      </c>
      <c r="D90" s="193">
        <v>1</v>
      </c>
      <c r="E90" s="132"/>
      <c r="F90" s="132"/>
      <c r="G90" s="132"/>
      <c r="H90" s="133"/>
      <c r="I90" s="132"/>
      <c r="J90" s="132"/>
      <c r="K90" s="132"/>
      <c r="L90" s="134" t="s">
        <v>146</v>
      </c>
      <c r="M90" s="135">
        <v>4500000</v>
      </c>
      <c r="N90" s="132">
        <v>-2226600</v>
      </c>
      <c r="O90" s="136">
        <f t="shared" si="13"/>
        <v>2273400</v>
      </c>
      <c r="P90" s="137">
        <v>2273400</v>
      </c>
      <c r="Q90" s="132"/>
      <c r="R90" s="138">
        <f t="shared" si="11"/>
        <v>2273400</v>
      </c>
      <c r="S90" s="190"/>
      <c r="T90" s="135">
        <v>2273400</v>
      </c>
      <c r="U90" s="132"/>
      <c r="V90" s="136">
        <f t="shared" si="18"/>
        <v>2273400</v>
      </c>
      <c r="W90" s="137">
        <v>2273400</v>
      </c>
      <c r="X90" s="132"/>
      <c r="Y90" s="138">
        <f t="shared" si="5"/>
        <v>2273400</v>
      </c>
      <c r="Z90" s="174"/>
      <c r="AA90" s="148"/>
    </row>
    <row r="91" spans="2:27" ht="17.25" customHeight="1" x14ac:dyDescent="0.25">
      <c r="B91" s="192" t="s">
        <v>113</v>
      </c>
      <c r="C91" s="131" t="s">
        <v>147</v>
      </c>
      <c r="D91" s="193">
        <v>1</v>
      </c>
      <c r="E91" s="132"/>
      <c r="F91" s="132"/>
      <c r="G91" s="132"/>
      <c r="H91" s="133"/>
      <c r="I91" s="132"/>
      <c r="J91" s="132"/>
      <c r="K91" s="132"/>
      <c r="L91" s="134">
        <v>3215317</v>
      </c>
      <c r="M91" s="135">
        <v>2120000</v>
      </c>
      <c r="N91" s="132">
        <v>-120000</v>
      </c>
      <c r="O91" s="136">
        <f t="shared" si="13"/>
        <v>2000000</v>
      </c>
      <c r="P91" s="137">
        <v>2000000</v>
      </c>
      <c r="Q91" s="132"/>
      <c r="R91" s="138">
        <f t="shared" si="11"/>
        <v>2000000</v>
      </c>
      <c r="S91" s="190"/>
      <c r="T91" s="135">
        <v>2000000</v>
      </c>
      <c r="U91" s="132"/>
      <c r="V91" s="136">
        <f t="shared" si="18"/>
        <v>2000000</v>
      </c>
      <c r="W91" s="137">
        <v>2000000</v>
      </c>
      <c r="X91" s="132"/>
      <c r="Y91" s="138">
        <f t="shared" si="5"/>
        <v>2000000</v>
      </c>
      <c r="Z91" s="174"/>
      <c r="AA91" s="148"/>
    </row>
    <row r="92" spans="2:27" ht="17.25" customHeight="1" x14ac:dyDescent="0.25">
      <c r="B92" s="192" t="s">
        <v>113</v>
      </c>
      <c r="C92" s="131" t="s">
        <v>148</v>
      </c>
      <c r="D92" s="193">
        <v>1</v>
      </c>
      <c r="E92" s="132"/>
      <c r="F92" s="132"/>
      <c r="G92" s="132"/>
      <c r="H92" s="133"/>
      <c r="I92" s="132"/>
      <c r="J92" s="132"/>
      <c r="K92" s="132"/>
      <c r="L92" s="134">
        <v>3215305</v>
      </c>
      <c r="M92" s="135">
        <v>1320000</v>
      </c>
      <c r="N92" s="132">
        <v>-225000</v>
      </c>
      <c r="O92" s="136">
        <f t="shared" si="13"/>
        <v>1095000</v>
      </c>
      <c r="P92" s="137">
        <v>1095000</v>
      </c>
      <c r="Q92" s="132"/>
      <c r="R92" s="138">
        <f t="shared" si="11"/>
        <v>1095000</v>
      </c>
      <c r="S92" s="190"/>
      <c r="T92" s="135">
        <v>1095000</v>
      </c>
      <c r="U92" s="132"/>
      <c r="V92" s="136">
        <f t="shared" si="18"/>
        <v>1095000</v>
      </c>
      <c r="W92" s="137">
        <v>1095000</v>
      </c>
      <c r="X92" s="132"/>
      <c r="Y92" s="138">
        <f t="shared" si="5"/>
        <v>1095000</v>
      </c>
      <c r="Z92" s="174"/>
      <c r="AA92" s="148"/>
    </row>
    <row r="93" spans="2:27" ht="17.25" customHeight="1" x14ac:dyDescent="0.25">
      <c r="B93" s="192" t="s">
        <v>113</v>
      </c>
      <c r="C93" s="131" t="s">
        <v>149</v>
      </c>
      <c r="D93" s="193">
        <v>1</v>
      </c>
      <c r="E93" s="132"/>
      <c r="F93" s="132"/>
      <c r="G93" s="132"/>
      <c r="H93" s="133"/>
      <c r="I93" s="132"/>
      <c r="J93" s="132"/>
      <c r="K93" s="132"/>
      <c r="L93" s="134">
        <v>3212897</v>
      </c>
      <c r="M93" s="135">
        <v>5760000</v>
      </c>
      <c r="N93" s="132">
        <v>-1260000</v>
      </c>
      <c r="O93" s="136">
        <f t="shared" si="13"/>
        <v>4500000</v>
      </c>
      <c r="P93" s="137">
        <v>4500000</v>
      </c>
      <c r="Q93" s="132"/>
      <c r="R93" s="138">
        <f t="shared" si="11"/>
        <v>4500000</v>
      </c>
      <c r="S93" s="190"/>
      <c r="T93" s="135">
        <v>4500000</v>
      </c>
      <c r="U93" s="132"/>
      <c r="V93" s="136">
        <f t="shared" si="18"/>
        <v>4500000</v>
      </c>
      <c r="W93" s="137">
        <v>4500000</v>
      </c>
      <c r="X93" s="132"/>
      <c r="Y93" s="138">
        <f t="shared" si="5"/>
        <v>4500000</v>
      </c>
      <c r="Z93" s="174"/>
      <c r="AA93" s="148"/>
    </row>
    <row r="94" spans="2:27" ht="26.25" customHeight="1" x14ac:dyDescent="0.25">
      <c r="B94" s="192" t="s">
        <v>113</v>
      </c>
      <c r="C94" s="131" t="s">
        <v>150</v>
      </c>
      <c r="D94" s="193">
        <v>1</v>
      </c>
      <c r="E94" s="132"/>
      <c r="F94" s="132"/>
      <c r="G94" s="132"/>
      <c r="H94" s="133"/>
      <c r="I94" s="132"/>
      <c r="J94" s="132"/>
      <c r="K94" s="132"/>
      <c r="L94" s="134">
        <v>3212897</v>
      </c>
      <c r="M94" s="135">
        <v>3560000</v>
      </c>
      <c r="N94" s="132">
        <v>-1010000</v>
      </c>
      <c r="O94" s="136">
        <f t="shared" si="13"/>
        <v>2550000</v>
      </c>
      <c r="P94" s="137">
        <v>2550000</v>
      </c>
      <c r="Q94" s="132"/>
      <c r="R94" s="138">
        <f t="shared" si="11"/>
        <v>2550000</v>
      </c>
      <c r="S94" s="190"/>
      <c r="T94" s="135">
        <v>2550000</v>
      </c>
      <c r="U94" s="132"/>
      <c r="V94" s="136">
        <f t="shared" si="18"/>
        <v>2550000</v>
      </c>
      <c r="W94" s="137">
        <v>2550000</v>
      </c>
      <c r="X94" s="132"/>
      <c r="Y94" s="138">
        <f t="shared" si="5"/>
        <v>2550000</v>
      </c>
      <c r="Z94" s="174"/>
      <c r="AA94" s="148"/>
    </row>
    <row r="95" spans="2:27" ht="17.25" customHeight="1" x14ac:dyDescent="0.25">
      <c r="B95" s="192" t="s">
        <v>113</v>
      </c>
      <c r="C95" s="131" t="s">
        <v>151</v>
      </c>
      <c r="D95" s="193">
        <v>1</v>
      </c>
      <c r="E95" s="132"/>
      <c r="F95" s="132"/>
      <c r="G95" s="132"/>
      <c r="H95" s="133"/>
      <c r="I95" s="132"/>
      <c r="J95" s="132"/>
      <c r="K95" s="132"/>
      <c r="L95" s="134">
        <v>3891102</v>
      </c>
      <c r="M95" s="135">
        <v>99733</v>
      </c>
      <c r="N95" s="132">
        <v>-3733</v>
      </c>
      <c r="O95" s="136">
        <f t="shared" si="13"/>
        <v>96000</v>
      </c>
      <c r="P95" s="137">
        <v>96000</v>
      </c>
      <c r="Q95" s="132"/>
      <c r="R95" s="138">
        <f t="shared" si="11"/>
        <v>96000</v>
      </c>
      <c r="S95" s="190"/>
      <c r="T95" s="135">
        <v>96000</v>
      </c>
      <c r="U95" s="132"/>
      <c r="V95" s="136">
        <f t="shared" si="18"/>
        <v>96000</v>
      </c>
      <c r="W95" s="137">
        <v>96000</v>
      </c>
      <c r="X95" s="132"/>
      <c r="Y95" s="138">
        <f t="shared" si="5"/>
        <v>96000</v>
      </c>
      <c r="Z95" s="174"/>
      <c r="AA95" s="148"/>
    </row>
    <row r="96" spans="2:27" ht="17.25" customHeight="1" x14ac:dyDescent="0.25">
      <c r="B96" s="192" t="s">
        <v>113</v>
      </c>
      <c r="C96" s="131" t="s">
        <v>152</v>
      </c>
      <c r="D96" s="193">
        <v>1</v>
      </c>
      <c r="E96" s="132"/>
      <c r="F96" s="132"/>
      <c r="G96" s="132"/>
      <c r="H96" s="133"/>
      <c r="I96" s="132"/>
      <c r="J96" s="132"/>
      <c r="K96" s="132"/>
      <c r="L96" s="134">
        <v>3891106</v>
      </c>
      <c r="M96" s="135">
        <v>96500</v>
      </c>
      <c r="N96" s="132">
        <v>-500</v>
      </c>
      <c r="O96" s="136">
        <f t="shared" si="13"/>
        <v>96000</v>
      </c>
      <c r="P96" s="137">
        <v>96000</v>
      </c>
      <c r="Q96" s="132"/>
      <c r="R96" s="138">
        <f t="shared" si="11"/>
        <v>96000</v>
      </c>
      <c r="S96" s="190"/>
      <c r="T96" s="135">
        <v>96000</v>
      </c>
      <c r="U96" s="132"/>
      <c r="V96" s="136">
        <f t="shared" si="18"/>
        <v>96000</v>
      </c>
      <c r="W96" s="137">
        <v>96000</v>
      </c>
      <c r="X96" s="132"/>
      <c r="Y96" s="138">
        <f t="shared" si="5"/>
        <v>96000</v>
      </c>
      <c r="Z96" s="174"/>
      <c r="AA96" s="148"/>
    </row>
    <row r="97" spans="2:27" ht="17.25" customHeight="1" x14ac:dyDescent="0.25">
      <c r="B97" s="173" t="s">
        <v>113</v>
      </c>
      <c r="C97" s="131" t="s">
        <v>153</v>
      </c>
      <c r="D97" s="131">
        <v>1</v>
      </c>
      <c r="E97" s="132"/>
      <c r="F97" s="132"/>
      <c r="G97" s="132"/>
      <c r="H97" s="133"/>
      <c r="I97" s="132"/>
      <c r="J97" s="132"/>
      <c r="K97" s="132"/>
      <c r="L97" s="134">
        <v>3692002</v>
      </c>
      <c r="M97" s="135">
        <v>113400</v>
      </c>
      <c r="N97" s="132">
        <v>-13400</v>
      </c>
      <c r="O97" s="136">
        <f t="shared" si="13"/>
        <v>100000</v>
      </c>
      <c r="P97" s="137">
        <v>100000</v>
      </c>
      <c r="Q97" s="132"/>
      <c r="R97" s="138">
        <f t="shared" si="11"/>
        <v>100000</v>
      </c>
      <c r="S97" s="190"/>
      <c r="T97" s="135">
        <v>100000</v>
      </c>
      <c r="U97" s="132"/>
      <c r="V97" s="136">
        <f t="shared" si="18"/>
        <v>100000</v>
      </c>
      <c r="W97" s="137">
        <v>100000</v>
      </c>
      <c r="X97" s="132"/>
      <c r="Y97" s="138">
        <f t="shared" si="5"/>
        <v>100000</v>
      </c>
      <c r="Z97" s="174"/>
      <c r="AA97" s="148"/>
    </row>
    <row r="98" spans="2:27" ht="17.25" customHeight="1" x14ac:dyDescent="0.25">
      <c r="B98" s="173" t="s">
        <v>113</v>
      </c>
      <c r="C98" s="131" t="s">
        <v>154</v>
      </c>
      <c r="D98" s="131">
        <v>1</v>
      </c>
      <c r="E98" s="132"/>
      <c r="F98" s="132"/>
      <c r="G98" s="132"/>
      <c r="H98" s="133"/>
      <c r="I98" s="132"/>
      <c r="J98" s="132"/>
      <c r="K98" s="132"/>
      <c r="L98" s="134">
        <v>3212899</v>
      </c>
      <c r="M98" s="135">
        <v>179000</v>
      </c>
      <c r="N98" s="132">
        <v>-89000</v>
      </c>
      <c r="O98" s="136">
        <f t="shared" si="13"/>
        <v>90000</v>
      </c>
      <c r="P98" s="137">
        <v>90000</v>
      </c>
      <c r="Q98" s="132"/>
      <c r="R98" s="138">
        <f t="shared" si="11"/>
        <v>90000</v>
      </c>
      <c r="S98" s="190"/>
      <c r="T98" s="135">
        <v>90000</v>
      </c>
      <c r="U98" s="132"/>
      <c r="V98" s="136">
        <f t="shared" si="18"/>
        <v>90000</v>
      </c>
      <c r="W98" s="137">
        <v>90000</v>
      </c>
      <c r="X98" s="132"/>
      <c r="Y98" s="138">
        <f t="shared" si="5"/>
        <v>90000</v>
      </c>
      <c r="Z98" s="174"/>
      <c r="AA98" s="148"/>
    </row>
    <row r="99" spans="2:27" ht="17.25" customHeight="1" x14ac:dyDescent="0.25">
      <c r="B99" s="173" t="s">
        <v>113</v>
      </c>
      <c r="C99" s="131" t="s">
        <v>155</v>
      </c>
      <c r="D99" s="131">
        <v>1</v>
      </c>
      <c r="E99" s="132"/>
      <c r="F99" s="132"/>
      <c r="G99" s="132"/>
      <c r="H99" s="133"/>
      <c r="I99" s="132"/>
      <c r="J99" s="132"/>
      <c r="K99" s="132"/>
      <c r="L99" s="134">
        <v>3699006</v>
      </c>
      <c r="M99" s="135">
        <v>53300</v>
      </c>
      <c r="N99" s="132">
        <v>-8300</v>
      </c>
      <c r="O99" s="136">
        <f t="shared" si="13"/>
        <v>45000</v>
      </c>
      <c r="P99" s="137">
        <v>45000</v>
      </c>
      <c r="Q99" s="132"/>
      <c r="R99" s="138">
        <f t="shared" si="11"/>
        <v>45000</v>
      </c>
      <c r="S99" s="190"/>
      <c r="T99" s="135">
        <v>45000</v>
      </c>
      <c r="U99" s="132"/>
      <c r="V99" s="136">
        <f t="shared" si="18"/>
        <v>45000</v>
      </c>
      <c r="W99" s="137">
        <v>45000</v>
      </c>
      <c r="X99" s="132"/>
      <c r="Y99" s="138">
        <f t="shared" si="5"/>
        <v>45000</v>
      </c>
      <c r="Z99" s="174"/>
      <c r="AA99" s="148"/>
    </row>
    <row r="100" spans="2:27" ht="17.25" customHeight="1" x14ac:dyDescent="0.25">
      <c r="B100" s="173" t="s">
        <v>113</v>
      </c>
      <c r="C100" s="131" t="s">
        <v>156</v>
      </c>
      <c r="D100" s="131">
        <v>1</v>
      </c>
      <c r="E100" s="132"/>
      <c r="F100" s="132"/>
      <c r="G100" s="132"/>
      <c r="H100" s="133"/>
      <c r="I100" s="132"/>
      <c r="J100" s="132"/>
      <c r="K100" s="132"/>
      <c r="L100" s="134">
        <v>3212898</v>
      </c>
      <c r="M100" s="135">
        <v>227000</v>
      </c>
      <c r="N100" s="132">
        <v>-77000</v>
      </c>
      <c r="O100" s="136">
        <f t="shared" si="13"/>
        <v>150000</v>
      </c>
      <c r="P100" s="137">
        <v>150000</v>
      </c>
      <c r="Q100" s="132"/>
      <c r="R100" s="138">
        <f t="shared" si="11"/>
        <v>150000</v>
      </c>
      <c r="S100" s="190"/>
      <c r="T100" s="135">
        <v>150000</v>
      </c>
      <c r="U100" s="132"/>
      <c r="V100" s="136">
        <f t="shared" si="18"/>
        <v>150000</v>
      </c>
      <c r="W100" s="137">
        <v>150000</v>
      </c>
      <c r="X100" s="132"/>
      <c r="Y100" s="138">
        <f t="shared" si="5"/>
        <v>150000</v>
      </c>
      <c r="Z100" s="174"/>
      <c r="AA100" s="148"/>
    </row>
    <row r="101" spans="2:27" ht="17.25" customHeight="1" x14ac:dyDescent="0.25">
      <c r="B101" s="173" t="s">
        <v>113</v>
      </c>
      <c r="C101" s="131" t="s">
        <v>157</v>
      </c>
      <c r="D101" s="131">
        <v>1</v>
      </c>
      <c r="E101" s="132"/>
      <c r="F101" s="132"/>
      <c r="G101" s="132"/>
      <c r="H101" s="133"/>
      <c r="I101" s="132"/>
      <c r="J101" s="132"/>
      <c r="K101" s="132"/>
      <c r="L101" s="134">
        <v>3649021</v>
      </c>
      <c r="M101" s="135">
        <v>194000</v>
      </c>
      <c r="N101" s="132">
        <v>-42000</v>
      </c>
      <c r="O101" s="136">
        <f t="shared" si="13"/>
        <v>152000</v>
      </c>
      <c r="P101" s="137">
        <v>152000</v>
      </c>
      <c r="Q101" s="132"/>
      <c r="R101" s="138">
        <f t="shared" si="11"/>
        <v>152000</v>
      </c>
      <c r="S101" s="190"/>
      <c r="T101" s="135">
        <v>152000</v>
      </c>
      <c r="U101" s="132"/>
      <c r="V101" s="136">
        <f t="shared" si="18"/>
        <v>152000</v>
      </c>
      <c r="W101" s="137">
        <v>152000</v>
      </c>
      <c r="X101" s="132"/>
      <c r="Y101" s="138">
        <f t="shared" si="5"/>
        <v>152000</v>
      </c>
      <c r="Z101" s="174"/>
      <c r="AA101" s="148"/>
    </row>
    <row r="102" spans="2:27" ht="17.25" customHeight="1" x14ac:dyDescent="0.25">
      <c r="B102" s="173" t="s">
        <v>113</v>
      </c>
      <c r="C102" s="131" t="s">
        <v>158</v>
      </c>
      <c r="D102" s="131">
        <v>1</v>
      </c>
      <c r="E102" s="132"/>
      <c r="F102" s="132"/>
      <c r="G102" s="132"/>
      <c r="H102" s="133"/>
      <c r="I102" s="132"/>
      <c r="J102" s="132"/>
      <c r="K102" s="132"/>
      <c r="L102" s="134">
        <v>3212899</v>
      </c>
      <c r="M102" s="135">
        <v>62700</v>
      </c>
      <c r="N102" s="132">
        <v>-2700</v>
      </c>
      <c r="O102" s="136">
        <f t="shared" si="13"/>
        <v>60000</v>
      </c>
      <c r="P102" s="137">
        <v>60000</v>
      </c>
      <c r="Q102" s="132"/>
      <c r="R102" s="138">
        <f t="shared" si="11"/>
        <v>60000</v>
      </c>
      <c r="S102" s="190"/>
      <c r="T102" s="135">
        <v>60000</v>
      </c>
      <c r="U102" s="132"/>
      <c r="V102" s="136">
        <f t="shared" si="18"/>
        <v>60000</v>
      </c>
      <c r="W102" s="137">
        <v>60000</v>
      </c>
      <c r="X102" s="132"/>
      <c r="Y102" s="138">
        <f t="shared" si="5"/>
        <v>60000</v>
      </c>
      <c r="Z102" s="174"/>
      <c r="AA102" s="148"/>
    </row>
    <row r="103" spans="2:27" ht="26.25" customHeight="1" x14ac:dyDescent="0.25">
      <c r="B103" s="173" t="s">
        <v>113</v>
      </c>
      <c r="C103" s="131" t="s">
        <v>159</v>
      </c>
      <c r="D103" s="131">
        <v>1</v>
      </c>
      <c r="E103" s="132"/>
      <c r="F103" s="132"/>
      <c r="G103" s="132"/>
      <c r="H103" s="133"/>
      <c r="I103" s="132"/>
      <c r="J103" s="132"/>
      <c r="K103" s="132"/>
      <c r="L103" s="134">
        <v>3219202</v>
      </c>
      <c r="M103" s="135">
        <v>58000</v>
      </c>
      <c r="N103" s="132">
        <v>-10000</v>
      </c>
      <c r="O103" s="136">
        <f t="shared" si="13"/>
        <v>48000</v>
      </c>
      <c r="P103" s="137">
        <v>48000</v>
      </c>
      <c r="Q103" s="132"/>
      <c r="R103" s="138">
        <f t="shared" si="11"/>
        <v>48000</v>
      </c>
      <c r="S103" s="190"/>
      <c r="T103" s="135">
        <v>48000</v>
      </c>
      <c r="U103" s="132"/>
      <c r="V103" s="136">
        <f t="shared" si="18"/>
        <v>48000</v>
      </c>
      <c r="W103" s="137">
        <v>48000</v>
      </c>
      <c r="X103" s="132"/>
      <c r="Y103" s="138">
        <f t="shared" si="5"/>
        <v>48000</v>
      </c>
      <c r="Z103" s="174"/>
      <c r="AA103" s="148"/>
    </row>
    <row r="104" spans="2:27" ht="27" customHeight="1" x14ac:dyDescent="0.25">
      <c r="B104" s="173" t="s">
        <v>113</v>
      </c>
      <c r="C104" s="131" t="s">
        <v>160</v>
      </c>
      <c r="D104" s="131">
        <v>1</v>
      </c>
      <c r="E104" s="132"/>
      <c r="F104" s="132"/>
      <c r="G104" s="132"/>
      <c r="H104" s="133"/>
      <c r="I104" s="132"/>
      <c r="J104" s="132"/>
      <c r="K104" s="132"/>
      <c r="L104" s="134">
        <v>3219202</v>
      </c>
      <c r="M104" s="135">
        <v>60500</v>
      </c>
      <c r="N104" s="132">
        <v>-6500</v>
      </c>
      <c r="O104" s="136">
        <f t="shared" si="13"/>
        <v>54000</v>
      </c>
      <c r="P104" s="137">
        <v>54000</v>
      </c>
      <c r="Q104" s="132"/>
      <c r="R104" s="138">
        <f t="shared" si="11"/>
        <v>54000</v>
      </c>
      <c r="S104" s="190"/>
      <c r="T104" s="135">
        <v>54000</v>
      </c>
      <c r="U104" s="132"/>
      <c r="V104" s="136">
        <f t="shared" si="18"/>
        <v>54000</v>
      </c>
      <c r="W104" s="137">
        <v>54000</v>
      </c>
      <c r="X104" s="132"/>
      <c r="Y104" s="138">
        <f t="shared" si="5"/>
        <v>54000</v>
      </c>
      <c r="Z104" s="174"/>
      <c r="AA104" s="148"/>
    </row>
    <row r="105" spans="2:27" ht="17.25" customHeight="1" x14ac:dyDescent="0.25">
      <c r="B105" s="173" t="s">
        <v>113</v>
      </c>
      <c r="C105" s="131" t="s">
        <v>161</v>
      </c>
      <c r="D105" s="131">
        <v>1</v>
      </c>
      <c r="E105" s="132"/>
      <c r="F105" s="132"/>
      <c r="G105" s="132"/>
      <c r="H105" s="133"/>
      <c r="I105" s="132"/>
      <c r="J105" s="132"/>
      <c r="K105" s="132"/>
      <c r="L105" s="134">
        <v>3891104</v>
      </c>
      <c r="M105" s="135">
        <v>48000</v>
      </c>
      <c r="N105" s="132"/>
      <c r="O105" s="136">
        <f t="shared" si="13"/>
        <v>48000</v>
      </c>
      <c r="P105" s="137">
        <v>48000</v>
      </c>
      <c r="Q105" s="132"/>
      <c r="R105" s="138">
        <f>+Q105+P105</f>
        <v>48000</v>
      </c>
      <c r="S105" s="190"/>
      <c r="T105" s="135">
        <v>48000</v>
      </c>
      <c r="U105" s="132"/>
      <c r="V105" s="136">
        <f t="shared" si="18"/>
        <v>48000</v>
      </c>
      <c r="W105" s="137">
        <v>48000</v>
      </c>
      <c r="X105" s="132"/>
      <c r="Y105" s="138">
        <f t="shared" si="5"/>
        <v>48000</v>
      </c>
      <c r="Z105" s="174"/>
      <c r="AA105" s="148"/>
    </row>
    <row r="106" spans="2:27" ht="17.25" customHeight="1" x14ac:dyDescent="0.25">
      <c r="B106" s="173" t="s">
        <v>113</v>
      </c>
      <c r="C106" s="131" t="s">
        <v>162</v>
      </c>
      <c r="D106" s="131">
        <v>1</v>
      </c>
      <c r="E106" s="132"/>
      <c r="F106" s="132"/>
      <c r="G106" s="132"/>
      <c r="H106" s="133"/>
      <c r="I106" s="132"/>
      <c r="J106" s="132"/>
      <c r="K106" s="132"/>
      <c r="L106" s="134">
        <v>3891104</v>
      </c>
      <c r="M106" s="135">
        <v>28500</v>
      </c>
      <c r="N106" s="132">
        <v>-500</v>
      </c>
      <c r="O106" s="136">
        <f t="shared" si="13"/>
        <v>28000</v>
      </c>
      <c r="P106" s="137">
        <v>28000</v>
      </c>
      <c r="Q106" s="132"/>
      <c r="R106" s="138">
        <f>+Q106+P106</f>
        <v>28000</v>
      </c>
      <c r="S106" s="190"/>
      <c r="T106" s="135">
        <v>28000</v>
      </c>
      <c r="U106" s="132"/>
      <c r="V106" s="136">
        <f t="shared" si="18"/>
        <v>28000</v>
      </c>
      <c r="W106" s="137">
        <v>28000</v>
      </c>
      <c r="X106" s="132"/>
      <c r="Y106" s="138">
        <f t="shared" si="5"/>
        <v>28000</v>
      </c>
      <c r="Z106" s="174"/>
      <c r="AA106" s="148"/>
    </row>
    <row r="107" spans="2:27" ht="17.25" customHeight="1" x14ac:dyDescent="0.25">
      <c r="B107" s="173" t="s">
        <v>113</v>
      </c>
      <c r="C107" s="131" t="s">
        <v>163</v>
      </c>
      <c r="D107" s="131">
        <v>1</v>
      </c>
      <c r="E107" s="132"/>
      <c r="F107" s="132"/>
      <c r="G107" s="132"/>
      <c r="H107" s="133"/>
      <c r="I107" s="132"/>
      <c r="J107" s="132"/>
      <c r="K107" s="132"/>
      <c r="L107" s="134">
        <v>3542009</v>
      </c>
      <c r="M107" s="135">
        <v>47300</v>
      </c>
      <c r="N107" s="132">
        <v>-2300</v>
      </c>
      <c r="O107" s="136">
        <f t="shared" si="13"/>
        <v>45000</v>
      </c>
      <c r="P107" s="137">
        <v>45000</v>
      </c>
      <c r="Q107" s="132"/>
      <c r="R107" s="138">
        <f t="shared" ref="R107:R130" si="19">+Q107+P107</f>
        <v>45000</v>
      </c>
      <c r="S107" s="190"/>
      <c r="T107" s="135">
        <v>45000</v>
      </c>
      <c r="U107" s="132"/>
      <c r="V107" s="136">
        <f t="shared" si="18"/>
        <v>45000</v>
      </c>
      <c r="W107" s="137">
        <v>45000</v>
      </c>
      <c r="X107" s="132"/>
      <c r="Y107" s="138">
        <f t="shared" si="5"/>
        <v>45000</v>
      </c>
      <c r="Z107" s="174"/>
      <c r="AA107" s="148"/>
    </row>
    <row r="108" spans="2:27" ht="17.25" customHeight="1" x14ac:dyDescent="0.25">
      <c r="B108" s="173" t="s">
        <v>113</v>
      </c>
      <c r="C108" s="131" t="s">
        <v>164</v>
      </c>
      <c r="D108" s="131">
        <v>1</v>
      </c>
      <c r="E108" s="132"/>
      <c r="F108" s="132"/>
      <c r="G108" s="132"/>
      <c r="H108" s="133"/>
      <c r="I108" s="132"/>
      <c r="J108" s="132"/>
      <c r="K108" s="132"/>
      <c r="L108" s="134">
        <v>3891104</v>
      </c>
      <c r="M108" s="135">
        <v>117600</v>
      </c>
      <c r="N108" s="132">
        <v>-37600</v>
      </c>
      <c r="O108" s="136">
        <f t="shared" si="13"/>
        <v>80000</v>
      </c>
      <c r="P108" s="137">
        <v>80000</v>
      </c>
      <c r="Q108" s="132"/>
      <c r="R108" s="138">
        <f t="shared" si="19"/>
        <v>80000</v>
      </c>
      <c r="S108" s="190"/>
      <c r="T108" s="135">
        <v>80000</v>
      </c>
      <c r="U108" s="132"/>
      <c r="V108" s="136">
        <f t="shared" si="18"/>
        <v>80000</v>
      </c>
      <c r="W108" s="137">
        <v>80000</v>
      </c>
      <c r="X108" s="132"/>
      <c r="Y108" s="138">
        <f t="shared" si="5"/>
        <v>80000</v>
      </c>
      <c r="Z108" s="174"/>
      <c r="AA108" s="148"/>
    </row>
    <row r="109" spans="2:27" ht="17.25" customHeight="1" x14ac:dyDescent="0.25">
      <c r="B109" s="173" t="s">
        <v>113</v>
      </c>
      <c r="C109" s="131" t="s">
        <v>165</v>
      </c>
      <c r="D109" s="131">
        <v>1</v>
      </c>
      <c r="E109" s="132"/>
      <c r="F109" s="132"/>
      <c r="G109" s="132"/>
      <c r="H109" s="133"/>
      <c r="I109" s="132"/>
      <c r="J109" s="132"/>
      <c r="K109" s="132"/>
      <c r="L109" s="134">
        <v>3891104</v>
      </c>
      <c r="M109" s="135">
        <v>58800</v>
      </c>
      <c r="N109" s="132">
        <v>-18800</v>
      </c>
      <c r="O109" s="136">
        <f t="shared" si="13"/>
        <v>40000</v>
      </c>
      <c r="P109" s="137">
        <v>40000</v>
      </c>
      <c r="Q109" s="132"/>
      <c r="R109" s="138">
        <f t="shared" si="19"/>
        <v>40000</v>
      </c>
      <c r="S109" s="190"/>
      <c r="T109" s="135">
        <v>40000</v>
      </c>
      <c r="U109" s="132"/>
      <c r="V109" s="136">
        <f t="shared" si="18"/>
        <v>40000</v>
      </c>
      <c r="W109" s="137">
        <v>40000</v>
      </c>
      <c r="X109" s="132"/>
      <c r="Y109" s="138">
        <f t="shared" si="5"/>
        <v>40000</v>
      </c>
      <c r="Z109" s="174"/>
      <c r="AA109" s="148"/>
    </row>
    <row r="110" spans="2:27" ht="17.25" customHeight="1" x14ac:dyDescent="0.25">
      <c r="B110" s="173" t="s">
        <v>113</v>
      </c>
      <c r="C110" s="131" t="s">
        <v>166</v>
      </c>
      <c r="D110" s="131">
        <v>1</v>
      </c>
      <c r="E110" s="132"/>
      <c r="F110" s="132"/>
      <c r="G110" s="132"/>
      <c r="H110" s="133"/>
      <c r="I110" s="132"/>
      <c r="J110" s="132"/>
      <c r="K110" s="132"/>
      <c r="L110" s="134">
        <v>3350004</v>
      </c>
      <c r="M110" s="135">
        <v>52800</v>
      </c>
      <c r="N110" s="132">
        <v>-13800</v>
      </c>
      <c r="O110" s="136">
        <f t="shared" si="13"/>
        <v>39000</v>
      </c>
      <c r="P110" s="137">
        <v>39000</v>
      </c>
      <c r="Q110" s="132"/>
      <c r="R110" s="138">
        <f t="shared" si="19"/>
        <v>39000</v>
      </c>
      <c r="S110" s="190"/>
      <c r="T110" s="135">
        <v>39000</v>
      </c>
      <c r="U110" s="132"/>
      <c r="V110" s="136">
        <f t="shared" si="18"/>
        <v>39000</v>
      </c>
      <c r="W110" s="137">
        <v>39000</v>
      </c>
      <c r="X110" s="132"/>
      <c r="Y110" s="138">
        <f t="shared" si="5"/>
        <v>39000</v>
      </c>
      <c r="Z110" s="174"/>
      <c r="AA110" s="148"/>
    </row>
    <row r="111" spans="2:27" ht="17.25" customHeight="1" x14ac:dyDescent="0.25">
      <c r="B111" s="173" t="s">
        <v>113</v>
      </c>
      <c r="C111" s="131" t="s">
        <v>167</v>
      </c>
      <c r="D111" s="131">
        <v>1</v>
      </c>
      <c r="E111" s="132"/>
      <c r="F111" s="132"/>
      <c r="G111" s="132"/>
      <c r="H111" s="133"/>
      <c r="I111" s="132"/>
      <c r="J111" s="132"/>
      <c r="K111" s="132"/>
      <c r="L111" s="134">
        <v>3699067</v>
      </c>
      <c r="M111" s="135">
        <v>32300</v>
      </c>
      <c r="N111" s="132">
        <v>-6300</v>
      </c>
      <c r="O111" s="136">
        <f t="shared" si="13"/>
        <v>26000</v>
      </c>
      <c r="P111" s="137">
        <v>26000</v>
      </c>
      <c r="Q111" s="132"/>
      <c r="R111" s="138">
        <f t="shared" si="19"/>
        <v>26000</v>
      </c>
      <c r="S111" s="190"/>
      <c r="T111" s="135">
        <v>26000</v>
      </c>
      <c r="U111" s="132"/>
      <c r="V111" s="136">
        <f t="shared" si="18"/>
        <v>26000</v>
      </c>
      <c r="W111" s="137">
        <v>26000</v>
      </c>
      <c r="X111" s="132"/>
      <c r="Y111" s="138">
        <f t="shared" si="5"/>
        <v>26000</v>
      </c>
      <c r="Z111" s="174"/>
      <c r="AA111" s="148"/>
    </row>
    <row r="112" spans="2:27" ht="17.25" customHeight="1" x14ac:dyDescent="0.25">
      <c r="B112" s="173" t="s">
        <v>113</v>
      </c>
      <c r="C112" s="188" t="s">
        <v>168</v>
      </c>
      <c r="D112" s="131">
        <v>1</v>
      </c>
      <c r="E112" s="132"/>
      <c r="F112" s="132"/>
      <c r="G112" s="132"/>
      <c r="H112" s="133"/>
      <c r="I112" s="132"/>
      <c r="J112" s="132"/>
      <c r="K112" s="132"/>
      <c r="L112" s="134">
        <v>3219302</v>
      </c>
      <c r="M112" s="135">
        <v>217400</v>
      </c>
      <c r="N112" s="132">
        <v>-58280</v>
      </c>
      <c r="O112" s="136">
        <f t="shared" si="13"/>
        <v>159120</v>
      </c>
      <c r="P112" s="137">
        <v>159120</v>
      </c>
      <c r="Q112" s="132"/>
      <c r="R112" s="138">
        <f t="shared" si="19"/>
        <v>159120</v>
      </c>
      <c r="S112" s="190"/>
      <c r="T112" s="135">
        <v>159120</v>
      </c>
      <c r="U112" s="132"/>
      <c r="V112" s="136">
        <f t="shared" si="18"/>
        <v>159120</v>
      </c>
      <c r="W112" s="137">
        <v>159120</v>
      </c>
      <c r="X112" s="132"/>
      <c r="Y112" s="138">
        <f t="shared" si="5"/>
        <v>159120</v>
      </c>
      <c r="Z112" s="174"/>
      <c r="AA112" s="148"/>
    </row>
    <row r="113" spans="2:27" ht="17.25" customHeight="1" x14ac:dyDescent="0.25">
      <c r="B113" s="173" t="s">
        <v>113</v>
      </c>
      <c r="C113" s="188" t="s">
        <v>169</v>
      </c>
      <c r="D113" s="131">
        <v>1</v>
      </c>
      <c r="E113" s="132"/>
      <c r="F113" s="132"/>
      <c r="G113" s="132"/>
      <c r="H113" s="133"/>
      <c r="I113" s="132"/>
      <c r="J113" s="132"/>
      <c r="K113" s="132"/>
      <c r="L113" s="134">
        <v>3219305</v>
      </c>
      <c r="M113" s="135">
        <v>54100</v>
      </c>
      <c r="N113" s="132">
        <v>-800</v>
      </c>
      <c r="O113" s="136">
        <f t="shared" si="13"/>
        <v>53300</v>
      </c>
      <c r="P113" s="137">
        <v>53300</v>
      </c>
      <c r="Q113" s="132"/>
      <c r="R113" s="138">
        <f t="shared" si="19"/>
        <v>53300</v>
      </c>
      <c r="S113" s="190"/>
      <c r="T113" s="135">
        <v>53300</v>
      </c>
      <c r="U113" s="132"/>
      <c r="V113" s="136">
        <f t="shared" si="18"/>
        <v>53300</v>
      </c>
      <c r="W113" s="137">
        <v>53300</v>
      </c>
      <c r="X113" s="132"/>
      <c r="Y113" s="138">
        <f t="shared" si="5"/>
        <v>53300</v>
      </c>
      <c r="Z113" s="174"/>
      <c r="AA113" s="148"/>
    </row>
    <row r="114" spans="2:27" ht="17.25" customHeight="1" x14ac:dyDescent="0.25">
      <c r="B114" s="173" t="s">
        <v>113</v>
      </c>
      <c r="C114" s="188" t="s">
        <v>170</v>
      </c>
      <c r="D114" s="131">
        <v>1</v>
      </c>
      <c r="E114" s="132"/>
      <c r="F114" s="132"/>
      <c r="G114" s="132"/>
      <c r="H114" s="133"/>
      <c r="I114" s="132"/>
      <c r="J114" s="132"/>
      <c r="K114" s="132"/>
      <c r="L114" s="134">
        <v>3219304</v>
      </c>
      <c r="M114" s="135">
        <v>338100</v>
      </c>
      <c r="N114" s="132">
        <v>-10500</v>
      </c>
      <c r="O114" s="136">
        <f t="shared" si="13"/>
        <v>327600</v>
      </c>
      <c r="P114" s="137">
        <v>327600</v>
      </c>
      <c r="Q114" s="132"/>
      <c r="R114" s="138">
        <f t="shared" si="19"/>
        <v>327600</v>
      </c>
      <c r="S114" s="190"/>
      <c r="T114" s="135">
        <v>327600</v>
      </c>
      <c r="U114" s="132"/>
      <c r="V114" s="136">
        <f t="shared" si="18"/>
        <v>327600</v>
      </c>
      <c r="W114" s="137">
        <v>327600</v>
      </c>
      <c r="X114" s="132"/>
      <c r="Y114" s="138">
        <f t="shared" si="5"/>
        <v>327600</v>
      </c>
      <c r="Z114" s="174"/>
      <c r="AA114" s="148"/>
    </row>
    <row r="115" spans="2:27" ht="17.25" customHeight="1" x14ac:dyDescent="0.25">
      <c r="B115" s="173" t="s">
        <v>113</v>
      </c>
      <c r="C115" s="188" t="s">
        <v>171</v>
      </c>
      <c r="D115" s="131">
        <v>1</v>
      </c>
      <c r="E115" s="132"/>
      <c r="F115" s="132"/>
      <c r="G115" s="132"/>
      <c r="H115" s="133"/>
      <c r="I115" s="132"/>
      <c r="J115" s="132"/>
      <c r="K115" s="132"/>
      <c r="L115" s="134">
        <v>3641001</v>
      </c>
      <c r="M115" s="135">
        <v>79600</v>
      </c>
      <c r="N115" s="132">
        <v>-9400</v>
      </c>
      <c r="O115" s="136">
        <f t="shared" si="13"/>
        <v>70200</v>
      </c>
      <c r="P115" s="137">
        <v>70200</v>
      </c>
      <c r="Q115" s="132"/>
      <c r="R115" s="138">
        <f t="shared" si="19"/>
        <v>70200</v>
      </c>
      <c r="S115" s="190"/>
      <c r="T115" s="135">
        <v>70200</v>
      </c>
      <c r="U115" s="132"/>
      <c r="V115" s="136">
        <f t="shared" si="18"/>
        <v>70200</v>
      </c>
      <c r="W115" s="137">
        <v>70200</v>
      </c>
      <c r="X115" s="132"/>
      <c r="Y115" s="138">
        <f t="shared" si="5"/>
        <v>70200</v>
      </c>
      <c r="Z115" s="174"/>
      <c r="AA115" s="148"/>
    </row>
    <row r="116" spans="2:27" ht="17.25" customHeight="1" x14ac:dyDescent="0.25">
      <c r="B116" s="173" t="s">
        <v>113</v>
      </c>
      <c r="C116" s="188" t="s">
        <v>172</v>
      </c>
      <c r="D116" s="131">
        <v>1</v>
      </c>
      <c r="E116" s="132"/>
      <c r="F116" s="132"/>
      <c r="G116" s="132"/>
      <c r="H116" s="133"/>
      <c r="I116" s="132"/>
      <c r="J116" s="132"/>
      <c r="K116" s="132"/>
      <c r="L116" s="134">
        <v>3641001</v>
      </c>
      <c r="M116" s="135">
        <v>286100</v>
      </c>
      <c r="N116" s="132">
        <v>-9850</v>
      </c>
      <c r="O116" s="136">
        <f t="shared" si="13"/>
        <v>276250</v>
      </c>
      <c r="P116" s="137">
        <v>276250</v>
      </c>
      <c r="Q116" s="132"/>
      <c r="R116" s="138">
        <f t="shared" si="19"/>
        <v>276250</v>
      </c>
      <c r="S116" s="190"/>
      <c r="T116" s="135">
        <v>276250</v>
      </c>
      <c r="U116" s="132"/>
      <c r="V116" s="136">
        <f t="shared" si="18"/>
        <v>276250</v>
      </c>
      <c r="W116" s="137">
        <v>276250</v>
      </c>
      <c r="X116" s="132"/>
      <c r="Y116" s="138">
        <f t="shared" si="5"/>
        <v>276250</v>
      </c>
      <c r="Z116" s="174"/>
      <c r="AA116" s="148"/>
    </row>
    <row r="117" spans="2:27" ht="24" customHeight="1" x14ac:dyDescent="0.25">
      <c r="B117" s="173" t="s">
        <v>113</v>
      </c>
      <c r="C117" s="188" t="s">
        <v>173</v>
      </c>
      <c r="D117" s="131">
        <v>1</v>
      </c>
      <c r="E117" s="132"/>
      <c r="F117" s="132"/>
      <c r="G117" s="132"/>
      <c r="H117" s="133"/>
      <c r="I117" s="132"/>
      <c r="J117" s="132"/>
      <c r="K117" s="132"/>
      <c r="L117" s="134">
        <v>3532201</v>
      </c>
      <c r="M117" s="135">
        <v>106400</v>
      </c>
      <c r="N117" s="132">
        <v>-12800</v>
      </c>
      <c r="O117" s="136">
        <f t="shared" si="13"/>
        <v>93600</v>
      </c>
      <c r="P117" s="137">
        <v>93600</v>
      </c>
      <c r="Q117" s="132"/>
      <c r="R117" s="138">
        <f t="shared" si="19"/>
        <v>93600</v>
      </c>
      <c r="S117" s="190"/>
      <c r="T117" s="135">
        <v>93600</v>
      </c>
      <c r="U117" s="132"/>
      <c r="V117" s="136">
        <f t="shared" si="18"/>
        <v>93600</v>
      </c>
      <c r="W117" s="137">
        <v>93600</v>
      </c>
      <c r="X117" s="132"/>
      <c r="Y117" s="138">
        <f t="shared" si="5"/>
        <v>93600</v>
      </c>
      <c r="Z117" s="174"/>
      <c r="AA117" s="148"/>
    </row>
    <row r="118" spans="2:27" ht="17.25" customHeight="1" x14ac:dyDescent="0.25">
      <c r="B118" s="173" t="s">
        <v>113</v>
      </c>
      <c r="C118" s="188" t="s">
        <v>174</v>
      </c>
      <c r="D118" s="131">
        <v>1</v>
      </c>
      <c r="E118" s="132"/>
      <c r="F118" s="132"/>
      <c r="G118" s="132"/>
      <c r="H118" s="133"/>
      <c r="I118" s="132"/>
      <c r="J118" s="132"/>
      <c r="K118" s="132"/>
      <c r="L118" s="134">
        <v>3532204</v>
      </c>
      <c r="M118" s="135">
        <v>41400</v>
      </c>
      <c r="N118" s="132">
        <v>-5000</v>
      </c>
      <c r="O118" s="136">
        <f t="shared" si="13"/>
        <v>36400</v>
      </c>
      <c r="P118" s="137">
        <v>36400</v>
      </c>
      <c r="Q118" s="132"/>
      <c r="R118" s="138">
        <f t="shared" si="19"/>
        <v>36400</v>
      </c>
      <c r="S118" s="190"/>
      <c r="T118" s="135">
        <v>36400</v>
      </c>
      <c r="U118" s="132"/>
      <c r="V118" s="136">
        <f t="shared" si="18"/>
        <v>36400</v>
      </c>
      <c r="W118" s="137">
        <v>36400</v>
      </c>
      <c r="X118" s="132"/>
      <c r="Y118" s="138">
        <f t="shared" si="5"/>
        <v>36400</v>
      </c>
      <c r="Z118" s="174"/>
      <c r="AA118" s="148"/>
    </row>
    <row r="119" spans="2:27" ht="17.25" customHeight="1" x14ac:dyDescent="0.25">
      <c r="B119" s="173" t="s">
        <v>113</v>
      </c>
      <c r="C119" s="188" t="s">
        <v>175</v>
      </c>
      <c r="D119" s="131">
        <v>1</v>
      </c>
      <c r="E119" s="132"/>
      <c r="F119" s="132"/>
      <c r="G119" s="132"/>
      <c r="H119" s="133"/>
      <c r="I119" s="132"/>
      <c r="J119" s="132"/>
      <c r="K119" s="132"/>
      <c r="L119" s="134">
        <v>3532212</v>
      </c>
      <c r="M119" s="135">
        <v>189750</v>
      </c>
      <c r="N119" s="132">
        <v>-12950</v>
      </c>
      <c r="O119" s="136">
        <f t="shared" si="13"/>
        <v>176800</v>
      </c>
      <c r="P119" s="137">
        <v>176800</v>
      </c>
      <c r="Q119" s="132"/>
      <c r="R119" s="138">
        <f t="shared" si="19"/>
        <v>176800</v>
      </c>
      <c r="S119" s="190"/>
      <c r="T119" s="135">
        <v>176800</v>
      </c>
      <c r="U119" s="132"/>
      <c r="V119" s="136">
        <f t="shared" si="18"/>
        <v>176800</v>
      </c>
      <c r="W119" s="137">
        <v>176800</v>
      </c>
      <c r="X119" s="132"/>
      <c r="Y119" s="138">
        <f t="shared" si="5"/>
        <v>176800</v>
      </c>
      <c r="Z119" s="174"/>
      <c r="AA119" s="148"/>
    </row>
    <row r="120" spans="2:27" ht="17.25" customHeight="1" x14ac:dyDescent="0.25">
      <c r="B120" s="173" t="s">
        <v>113</v>
      </c>
      <c r="C120" s="188" t="s">
        <v>176</v>
      </c>
      <c r="D120" s="131">
        <v>1</v>
      </c>
      <c r="E120" s="132"/>
      <c r="F120" s="132"/>
      <c r="G120" s="132"/>
      <c r="H120" s="133"/>
      <c r="I120" s="132"/>
      <c r="J120" s="132"/>
      <c r="K120" s="132"/>
      <c r="L120" s="134">
        <v>3532210</v>
      </c>
      <c r="M120" s="135">
        <v>128800</v>
      </c>
      <c r="N120" s="132">
        <v>-4000</v>
      </c>
      <c r="O120" s="136">
        <f t="shared" si="13"/>
        <v>124800</v>
      </c>
      <c r="P120" s="137">
        <v>124800</v>
      </c>
      <c r="Q120" s="132"/>
      <c r="R120" s="138">
        <f t="shared" si="19"/>
        <v>124800</v>
      </c>
      <c r="S120" s="190"/>
      <c r="T120" s="135">
        <v>124800</v>
      </c>
      <c r="U120" s="132"/>
      <c r="V120" s="136">
        <f t="shared" si="18"/>
        <v>124800</v>
      </c>
      <c r="W120" s="137">
        <v>124800</v>
      </c>
      <c r="X120" s="132"/>
      <c r="Y120" s="138">
        <f t="shared" si="5"/>
        <v>124800</v>
      </c>
      <c r="Z120" s="174"/>
      <c r="AA120" s="148"/>
    </row>
    <row r="121" spans="2:27" ht="17.25" customHeight="1" x14ac:dyDescent="0.25">
      <c r="B121" s="173" t="s">
        <v>113</v>
      </c>
      <c r="C121" s="188" t="s">
        <v>177</v>
      </c>
      <c r="D121" s="131">
        <v>1</v>
      </c>
      <c r="E121" s="132"/>
      <c r="F121" s="132"/>
      <c r="G121" s="132"/>
      <c r="H121" s="133"/>
      <c r="I121" s="132"/>
      <c r="J121" s="132"/>
      <c r="K121" s="132"/>
      <c r="L121" s="134">
        <v>3532210</v>
      </c>
      <c r="M121" s="135">
        <v>40300</v>
      </c>
      <c r="N121" s="132">
        <v>-22100</v>
      </c>
      <c r="O121" s="136">
        <f t="shared" si="13"/>
        <v>18200</v>
      </c>
      <c r="P121" s="137">
        <v>18200</v>
      </c>
      <c r="Q121" s="132"/>
      <c r="R121" s="138">
        <f t="shared" si="19"/>
        <v>18200</v>
      </c>
      <c r="S121" s="190"/>
      <c r="T121" s="135">
        <v>18200</v>
      </c>
      <c r="U121" s="132"/>
      <c r="V121" s="136">
        <f t="shared" si="18"/>
        <v>18200</v>
      </c>
      <c r="W121" s="137">
        <v>18200</v>
      </c>
      <c r="X121" s="132"/>
      <c r="Y121" s="138">
        <f t="shared" si="5"/>
        <v>18200</v>
      </c>
      <c r="Z121" s="174"/>
      <c r="AA121" s="148"/>
    </row>
    <row r="122" spans="2:27" ht="17.25" customHeight="1" x14ac:dyDescent="0.25">
      <c r="B122" s="173" t="s">
        <v>113</v>
      </c>
      <c r="C122" s="188" t="s">
        <v>178</v>
      </c>
      <c r="D122" s="131">
        <v>1</v>
      </c>
      <c r="E122" s="132"/>
      <c r="F122" s="132"/>
      <c r="G122" s="132"/>
      <c r="H122" s="133"/>
      <c r="I122" s="132"/>
      <c r="J122" s="132"/>
      <c r="K122" s="132"/>
      <c r="L122" s="134">
        <v>3532210</v>
      </c>
      <c r="M122" s="135">
        <v>169100</v>
      </c>
      <c r="N122" s="132">
        <v>-52100</v>
      </c>
      <c r="O122" s="136">
        <f t="shared" si="13"/>
        <v>117000</v>
      </c>
      <c r="P122" s="137">
        <v>117000</v>
      </c>
      <c r="Q122" s="132"/>
      <c r="R122" s="138">
        <f t="shared" si="19"/>
        <v>117000</v>
      </c>
      <c r="S122" s="190"/>
      <c r="T122" s="135">
        <v>117000</v>
      </c>
      <c r="U122" s="132"/>
      <c r="V122" s="136">
        <f t="shared" si="18"/>
        <v>117000</v>
      </c>
      <c r="W122" s="137">
        <v>117000</v>
      </c>
      <c r="X122" s="132"/>
      <c r="Y122" s="138">
        <f t="shared" si="5"/>
        <v>117000</v>
      </c>
      <c r="Z122" s="174"/>
      <c r="AA122" s="148"/>
    </row>
    <row r="123" spans="2:27" ht="17.25" customHeight="1" x14ac:dyDescent="0.25">
      <c r="B123" s="173" t="s">
        <v>113</v>
      </c>
      <c r="C123" s="188" t="s">
        <v>179</v>
      </c>
      <c r="D123" s="131">
        <v>1</v>
      </c>
      <c r="E123" s="132"/>
      <c r="F123" s="132"/>
      <c r="G123" s="132"/>
      <c r="H123" s="133"/>
      <c r="I123" s="132"/>
      <c r="J123" s="132"/>
      <c r="K123" s="132"/>
      <c r="L123" s="134">
        <v>3532101</v>
      </c>
      <c r="M123" s="135">
        <v>71800</v>
      </c>
      <c r="N123" s="132">
        <v>-2900</v>
      </c>
      <c r="O123" s="136">
        <f t="shared" si="13"/>
        <v>68900</v>
      </c>
      <c r="P123" s="137">
        <v>68900</v>
      </c>
      <c r="Q123" s="132"/>
      <c r="R123" s="138">
        <f t="shared" si="19"/>
        <v>68900</v>
      </c>
      <c r="S123" s="190"/>
      <c r="T123" s="135">
        <v>68900</v>
      </c>
      <c r="U123" s="132"/>
      <c r="V123" s="136">
        <f t="shared" si="18"/>
        <v>68900</v>
      </c>
      <c r="W123" s="137">
        <v>68900</v>
      </c>
      <c r="X123" s="132"/>
      <c r="Y123" s="138">
        <f t="shared" si="5"/>
        <v>68900</v>
      </c>
      <c r="Z123" s="174"/>
      <c r="AA123" s="148"/>
    </row>
    <row r="124" spans="2:27" ht="17.25" customHeight="1" x14ac:dyDescent="0.25">
      <c r="B124" s="173" t="s">
        <v>113</v>
      </c>
      <c r="C124" s="188" t="s">
        <v>180</v>
      </c>
      <c r="D124" s="131">
        <v>1</v>
      </c>
      <c r="E124" s="132"/>
      <c r="F124" s="132"/>
      <c r="G124" s="132"/>
      <c r="H124" s="133"/>
      <c r="I124" s="132"/>
      <c r="J124" s="132"/>
      <c r="K124" s="132"/>
      <c r="L124" s="134">
        <v>3626001</v>
      </c>
      <c r="M124" s="135">
        <v>39700</v>
      </c>
      <c r="N124" s="132">
        <v>-700</v>
      </c>
      <c r="O124" s="136">
        <f t="shared" si="13"/>
        <v>39000</v>
      </c>
      <c r="P124" s="137">
        <v>39000</v>
      </c>
      <c r="Q124" s="132"/>
      <c r="R124" s="138">
        <f t="shared" si="19"/>
        <v>39000</v>
      </c>
      <c r="S124" s="190"/>
      <c r="T124" s="135">
        <v>39000</v>
      </c>
      <c r="U124" s="132"/>
      <c r="V124" s="136">
        <f t="shared" si="18"/>
        <v>39000</v>
      </c>
      <c r="W124" s="137">
        <v>39000</v>
      </c>
      <c r="X124" s="132"/>
      <c r="Y124" s="138">
        <f t="shared" si="5"/>
        <v>39000</v>
      </c>
      <c r="Z124" s="174"/>
      <c r="AA124" s="148"/>
    </row>
    <row r="125" spans="2:27" ht="17.25" customHeight="1" x14ac:dyDescent="0.25">
      <c r="B125" s="173" t="s">
        <v>113</v>
      </c>
      <c r="C125" s="188" t="s">
        <v>181</v>
      </c>
      <c r="D125" s="131">
        <v>1</v>
      </c>
      <c r="E125" s="132"/>
      <c r="F125" s="132"/>
      <c r="G125" s="132"/>
      <c r="H125" s="133"/>
      <c r="I125" s="132"/>
      <c r="J125" s="132"/>
      <c r="K125" s="132"/>
      <c r="L125" s="134">
        <v>3899302</v>
      </c>
      <c r="M125" s="135">
        <v>47300</v>
      </c>
      <c r="N125" s="132">
        <v>-11940</v>
      </c>
      <c r="O125" s="136">
        <f t="shared" si="13"/>
        <v>35360</v>
      </c>
      <c r="P125" s="137">
        <v>35360</v>
      </c>
      <c r="Q125" s="132"/>
      <c r="R125" s="138">
        <f t="shared" si="19"/>
        <v>35360</v>
      </c>
      <c r="S125" s="190"/>
      <c r="T125" s="135">
        <v>35360</v>
      </c>
      <c r="U125" s="132"/>
      <c r="V125" s="136">
        <f t="shared" si="18"/>
        <v>35360</v>
      </c>
      <c r="W125" s="137">
        <v>35360</v>
      </c>
      <c r="X125" s="132"/>
      <c r="Y125" s="138">
        <f t="shared" si="5"/>
        <v>35360</v>
      </c>
      <c r="Z125" s="174"/>
      <c r="AA125" s="148"/>
    </row>
    <row r="126" spans="2:27" ht="17.25" customHeight="1" x14ac:dyDescent="0.25">
      <c r="B126" s="173" t="s">
        <v>113</v>
      </c>
      <c r="C126" s="188" t="s">
        <v>182</v>
      </c>
      <c r="D126" s="131">
        <v>1</v>
      </c>
      <c r="E126" s="132"/>
      <c r="F126" s="132"/>
      <c r="G126" s="132"/>
      <c r="H126" s="133"/>
      <c r="I126" s="132"/>
      <c r="J126" s="132"/>
      <c r="K126" s="132"/>
      <c r="L126" s="134">
        <v>3899314</v>
      </c>
      <c r="M126" s="135">
        <v>50000</v>
      </c>
      <c r="N126" s="132">
        <v>-18800</v>
      </c>
      <c r="O126" s="136">
        <f t="shared" si="13"/>
        <v>31200</v>
      </c>
      <c r="P126" s="137">
        <v>31200</v>
      </c>
      <c r="Q126" s="132"/>
      <c r="R126" s="138">
        <f t="shared" si="19"/>
        <v>31200</v>
      </c>
      <c r="S126" s="190"/>
      <c r="T126" s="135">
        <v>31200</v>
      </c>
      <c r="U126" s="132"/>
      <c r="V126" s="136">
        <f t="shared" si="18"/>
        <v>31200</v>
      </c>
      <c r="W126" s="137">
        <v>31200</v>
      </c>
      <c r="X126" s="132"/>
      <c r="Y126" s="138">
        <f t="shared" si="5"/>
        <v>31200</v>
      </c>
      <c r="Z126" s="174"/>
      <c r="AA126" s="148"/>
    </row>
    <row r="127" spans="2:27" ht="17.25" customHeight="1" x14ac:dyDescent="0.25">
      <c r="B127" s="173" t="s">
        <v>113</v>
      </c>
      <c r="C127" s="188" t="s">
        <v>183</v>
      </c>
      <c r="D127" s="131">
        <v>1</v>
      </c>
      <c r="E127" s="132"/>
      <c r="F127" s="132"/>
      <c r="G127" s="132"/>
      <c r="H127" s="133"/>
      <c r="I127" s="132"/>
      <c r="J127" s="132"/>
      <c r="K127" s="132"/>
      <c r="L127" s="134">
        <v>3694016</v>
      </c>
      <c r="M127" s="135">
        <v>13900</v>
      </c>
      <c r="N127" s="132">
        <v>-2200</v>
      </c>
      <c r="O127" s="136">
        <f t="shared" si="13"/>
        <v>11700</v>
      </c>
      <c r="P127" s="137">
        <v>11700</v>
      </c>
      <c r="Q127" s="132"/>
      <c r="R127" s="138">
        <f t="shared" si="19"/>
        <v>11700</v>
      </c>
      <c r="S127" s="190"/>
      <c r="T127" s="135">
        <v>11700</v>
      </c>
      <c r="U127" s="132"/>
      <c r="V127" s="136">
        <f t="shared" si="18"/>
        <v>11700</v>
      </c>
      <c r="W127" s="137">
        <v>11700</v>
      </c>
      <c r="X127" s="132"/>
      <c r="Y127" s="138">
        <f t="shared" si="5"/>
        <v>11700</v>
      </c>
      <c r="Z127" s="174"/>
      <c r="AA127" s="148"/>
    </row>
    <row r="128" spans="2:27" ht="17.25" customHeight="1" x14ac:dyDescent="0.25">
      <c r="B128" s="173" t="s">
        <v>113</v>
      </c>
      <c r="C128" s="188" t="s">
        <v>184</v>
      </c>
      <c r="D128" s="131">
        <v>1</v>
      </c>
      <c r="E128" s="132"/>
      <c r="F128" s="132"/>
      <c r="G128" s="132"/>
      <c r="H128" s="133"/>
      <c r="I128" s="132"/>
      <c r="J128" s="132"/>
      <c r="K128" s="132"/>
      <c r="L128" s="134">
        <v>3532103</v>
      </c>
      <c r="M128" s="135">
        <v>166800</v>
      </c>
      <c r="N128" s="132">
        <v>-27960</v>
      </c>
      <c r="O128" s="136">
        <f t="shared" si="13"/>
        <v>138840</v>
      </c>
      <c r="P128" s="137">
        <v>138840</v>
      </c>
      <c r="Q128" s="132"/>
      <c r="R128" s="138">
        <f t="shared" si="19"/>
        <v>138840</v>
      </c>
      <c r="S128" s="190"/>
      <c r="T128" s="135">
        <v>138840</v>
      </c>
      <c r="U128" s="132"/>
      <c r="V128" s="136">
        <f t="shared" si="18"/>
        <v>138840</v>
      </c>
      <c r="W128" s="137">
        <v>138840</v>
      </c>
      <c r="X128" s="132"/>
      <c r="Y128" s="138">
        <f t="shared" si="5"/>
        <v>138840</v>
      </c>
      <c r="Z128" s="174"/>
      <c r="AA128" s="148"/>
    </row>
    <row r="129" spans="2:29" ht="18" customHeight="1" x14ac:dyDescent="0.25">
      <c r="B129" s="178" t="s">
        <v>113</v>
      </c>
      <c r="C129" s="196" t="s">
        <v>185</v>
      </c>
      <c r="D129" s="131">
        <v>1</v>
      </c>
      <c r="E129" s="132"/>
      <c r="F129" s="132"/>
      <c r="G129" s="132"/>
      <c r="H129" s="133"/>
      <c r="I129" s="132"/>
      <c r="J129" s="132"/>
      <c r="K129" s="132"/>
      <c r="L129" s="134">
        <v>3532209</v>
      </c>
      <c r="M129" s="135">
        <v>168200</v>
      </c>
      <c r="N129" s="132">
        <v>-2450</v>
      </c>
      <c r="O129" s="136">
        <f t="shared" si="13"/>
        <v>165750</v>
      </c>
      <c r="P129" s="137">
        <v>165750</v>
      </c>
      <c r="Q129" s="132"/>
      <c r="R129" s="138">
        <f t="shared" si="19"/>
        <v>165750</v>
      </c>
      <c r="S129" s="190"/>
      <c r="T129" s="135">
        <v>165750</v>
      </c>
      <c r="U129" s="132"/>
      <c r="V129" s="136">
        <f>+T129+U129</f>
        <v>165750</v>
      </c>
      <c r="W129" s="137">
        <v>165750</v>
      </c>
      <c r="X129" s="132"/>
      <c r="Y129" s="138">
        <f t="shared" si="5"/>
        <v>165750</v>
      </c>
      <c r="Z129" s="174"/>
      <c r="AA129" s="148"/>
    </row>
    <row r="130" spans="2:29" ht="16.5" customHeight="1" x14ac:dyDescent="0.25">
      <c r="B130" s="173" t="s">
        <v>113</v>
      </c>
      <c r="C130" s="196" t="s">
        <v>186</v>
      </c>
      <c r="D130" s="131"/>
      <c r="E130" s="132"/>
      <c r="F130" s="132"/>
      <c r="G130" s="132"/>
      <c r="H130" s="133"/>
      <c r="I130" s="132"/>
      <c r="J130" s="132"/>
      <c r="K130" s="132"/>
      <c r="L130" s="134">
        <v>3544203</v>
      </c>
      <c r="M130" s="135">
        <v>400000</v>
      </c>
      <c r="N130" s="132"/>
      <c r="O130" s="136">
        <f t="shared" si="13"/>
        <v>400000</v>
      </c>
      <c r="P130" s="137">
        <v>400000</v>
      </c>
      <c r="Q130" s="132"/>
      <c r="R130" s="138">
        <f t="shared" si="19"/>
        <v>400000</v>
      </c>
      <c r="S130" s="197"/>
      <c r="T130" s="135">
        <v>400000</v>
      </c>
      <c r="U130" s="132"/>
      <c r="V130" s="136">
        <f>+T130+U130</f>
        <v>400000</v>
      </c>
      <c r="W130" s="137">
        <v>400000</v>
      </c>
      <c r="X130" s="132"/>
      <c r="Y130" s="138">
        <f t="shared" si="5"/>
        <v>400000</v>
      </c>
      <c r="Z130" s="174"/>
      <c r="AA130" s="148"/>
    </row>
    <row r="131" spans="2:29" s="45" customFormat="1" ht="33" customHeight="1" thickBot="1" x14ac:dyDescent="0.3">
      <c r="B131" s="169" t="s">
        <v>187</v>
      </c>
      <c r="C131" s="121" t="s">
        <v>188</v>
      </c>
      <c r="D131" s="121">
        <v>1</v>
      </c>
      <c r="E131" s="122">
        <v>23500000</v>
      </c>
      <c r="F131" s="122">
        <f>SUM(F132:F152)</f>
        <v>0</v>
      </c>
      <c r="G131" s="122">
        <f>SUM(G132:G142)</f>
        <v>30851660</v>
      </c>
      <c r="H131" s="170">
        <v>0</v>
      </c>
      <c r="I131" s="122">
        <v>0</v>
      </c>
      <c r="J131" s="122">
        <f>SUM(J132:J152)</f>
        <v>53000000</v>
      </c>
      <c r="K131" s="122">
        <f>E131+F131-G131-I131+J131</f>
        <v>45648340</v>
      </c>
      <c r="L131" s="123">
        <v>0</v>
      </c>
      <c r="M131" s="125">
        <f>SUM(M132:M154)</f>
        <v>3952767</v>
      </c>
      <c r="N131" s="122">
        <f>SUM(N132:N154)</f>
        <v>41695573</v>
      </c>
      <c r="O131" s="126">
        <f t="shared" si="13"/>
        <v>45648340</v>
      </c>
      <c r="P131" s="144">
        <f>SUM(P132:P153)</f>
        <v>3508340</v>
      </c>
      <c r="Q131" s="122">
        <f>SUM(Q132:Q154)</f>
        <v>42140000</v>
      </c>
      <c r="R131" s="127">
        <f>+P131+Q131</f>
        <v>45648340</v>
      </c>
      <c r="S131" s="198">
        <f>+K131-R131</f>
        <v>0</v>
      </c>
      <c r="T131" s="125">
        <f>SUM(T132:T153)</f>
        <v>3508340</v>
      </c>
      <c r="U131" s="122">
        <f>SUM(U132:U154)</f>
        <v>42140000</v>
      </c>
      <c r="V131" s="126">
        <f>+T131+U131</f>
        <v>45648340</v>
      </c>
      <c r="W131" s="144">
        <f>SUM(W132:W154)</f>
        <v>3508340</v>
      </c>
      <c r="X131" s="122">
        <f>SUM(X132:X154)</f>
        <v>0</v>
      </c>
      <c r="Y131" s="127">
        <f t="shared" si="5"/>
        <v>3508340</v>
      </c>
      <c r="Z131" s="171">
        <f>+U131-X131</f>
        <v>42140000</v>
      </c>
      <c r="AA131" s="172"/>
      <c r="AC131" s="199"/>
    </row>
    <row r="132" spans="2:29" ht="15.75" customHeight="1" x14ac:dyDescent="0.25">
      <c r="B132" s="178" t="s">
        <v>187</v>
      </c>
      <c r="C132" s="175" t="s">
        <v>189</v>
      </c>
      <c r="D132" s="131">
        <v>1</v>
      </c>
      <c r="E132" s="132"/>
      <c r="F132" s="132"/>
      <c r="G132" s="132">
        <v>10000000</v>
      </c>
      <c r="H132" s="133"/>
      <c r="I132" s="132"/>
      <c r="J132" s="132"/>
      <c r="K132" s="132"/>
      <c r="L132" s="134"/>
      <c r="M132" s="135"/>
      <c r="N132" s="132"/>
      <c r="O132" s="136"/>
      <c r="P132" s="137"/>
      <c r="Q132" s="132"/>
      <c r="R132" s="138"/>
      <c r="S132" s="200"/>
      <c r="T132" s="135"/>
      <c r="U132" s="132"/>
      <c r="V132" s="136"/>
      <c r="W132" s="137"/>
      <c r="X132" s="132"/>
      <c r="Y132" s="138"/>
      <c r="Z132" s="201"/>
      <c r="AA132" s="202"/>
      <c r="AC132" s="203"/>
    </row>
    <row r="133" spans="2:29" ht="15.75" customHeight="1" x14ac:dyDescent="0.25">
      <c r="B133" s="173" t="s">
        <v>187</v>
      </c>
      <c r="C133" s="175" t="s">
        <v>190</v>
      </c>
      <c r="D133" s="131">
        <v>1</v>
      </c>
      <c r="E133" s="132"/>
      <c r="F133" s="132"/>
      <c r="G133" s="132"/>
      <c r="H133" s="133"/>
      <c r="I133" s="132"/>
      <c r="J133" s="132">
        <v>53000000</v>
      </c>
      <c r="K133" s="132"/>
      <c r="L133" s="134"/>
      <c r="M133" s="135"/>
      <c r="N133" s="132"/>
      <c r="O133" s="136"/>
      <c r="P133" s="137"/>
      <c r="Q133" s="132"/>
      <c r="R133" s="138"/>
      <c r="S133" s="204"/>
      <c r="T133" s="135"/>
      <c r="U133" s="132"/>
      <c r="V133" s="136"/>
      <c r="W133" s="137"/>
      <c r="X133" s="132"/>
      <c r="Y133" s="138"/>
      <c r="Z133" s="201"/>
      <c r="AA133" s="202"/>
      <c r="AC133" s="203"/>
    </row>
    <row r="134" spans="2:29" ht="15.75" customHeight="1" x14ac:dyDescent="0.25">
      <c r="B134" s="173" t="s">
        <v>187</v>
      </c>
      <c r="C134" s="175" t="s">
        <v>191</v>
      </c>
      <c r="D134" s="131">
        <v>1</v>
      </c>
      <c r="E134" s="132"/>
      <c r="F134" s="132"/>
      <c r="G134" s="132">
        <v>9320862</v>
      </c>
      <c r="H134" s="133"/>
      <c r="I134" s="132"/>
      <c r="J134" s="132"/>
      <c r="K134" s="132"/>
      <c r="L134" s="134"/>
      <c r="M134" s="135"/>
      <c r="N134" s="132"/>
      <c r="O134" s="136"/>
      <c r="P134" s="137"/>
      <c r="Q134" s="132"/>
      <c r="R134" s="138"/>
      <c r="S134" s="204"/>
      <c r="T134" s="135"/>
      <c r="U134" s="132"/>
      <c r="V134" s="136"/>
      <c r="W134" s="137"/>
      <c r="X134" s="132"/>
      <c r="Y134" s="138"/>
      <c r="Z134" s="201"/>
      <c r="AA134" s="202"/>
      <c r="AC134" s="203"/>
    </row>
    <row r="135" spans="2:29" ht="15.75" customHeight="1" x14ac:dyDescent="0.25">
      <c r="B135" s="173" t="s">
        <v>187</v>
      </c>
      <c r="C135" s="175" t="s">
        <v>97</v>
      </c>
      <c r="D135" s="131"/>
      <c r="E135" s="132"/>
      <c r="F135" s="132"/>
      <c r="G135" s="132">
        <v>11530798</v>
      </c>
      <c r="H135" s="133"/>
      <c r="I135" s="132"/>
      <c r="J135" s="132"/>
      <c r="K135" s="132"/>
      <c r="L135" s="134"/>
      <c r="M135" s="135"/>
      <c r="N135" s="132"/>
      <c r="O135" s="136"/>
      <c r="P135" s="137"/>
      <c r="Q135" s="132"/>
      <c r="R135" s="138"/>
      <c r="S135" s="204"/>
      <c r="T135" s="135"/>
      <c r="U135" s="132"/>
      <c r="V135" s="136"/>
      <c r="W135" s="137"/>
      <c r="X135" s="132"/>
      <c r="Y135" s="138"/>
      <c r="Z135" s="201"/>
      <c r="AA135" s="202"/>
      <c r="AC135" s="203"/>
    </row>
    <row r="136" spans="2:29" ht="15.75" customHeight="1" x14ac:dyDescent="0.25">
      <c r="B136" s="173" t="s">
        <v>187</v>
      </c>
      <c r="C136" s="131" t="s">
        <v>192</v>
      </c>
      <c r="D136" s="131">
        <v>1</v>
      </c>
      <c r="E136" s="132"/>
      <c r="F136" s="132"/>
      <c r="G136" s="132"/>
      <c r="H136" s="133"/>
      <c r="I136" s="132"/>
      <c r="J136" s="132"/>
      <c r="K136" s="132"/>
      <c r="L136" s="134">
        <v>4653102</v>
      </c>
      <c r="M136" s="135">
        <v>320000</v>
      </c>
      <c r="N136" s="132"/>
      <c r="O136" s="136">
        <f t="shared" si="13"/>
        <v>320000</v>
      </c>
      <c r="P136" s="137">
        <v>320000</v>
      </c>
      <c r="Q136" s="132">
        <v>0</v>
      </c>
      <c r="R136" s="138">
        <f t="shared" ref="R136:R154" si="20">P136+Q136</f>
        <v>320000</v>
      </c>
      <c r="S136" s="139"/>
      <c r="T136" s="135">
        <v>320000</v>
      </c>
      <c r="U136" s="132">
        <v>0</v>
      </c>
      <c r="V136" s="136">
        <f>T136+U136</f>
        <v>320000</v>
      </c>
      <c r="W136" s="137">
        <v>320000</v>
      </c>
      <c r="X136" s="132">
        <v>0</v>
      </c>
      <c r="Y136" s="138">
        <f>W136+X136</f>
        <v>320000</v>
      </c>
      <c r="Z136" s="201">
        <f>+U136-X136</f>
        <v>0</v>
      </c>
      <c r="AA136" s="202">
        <f>+V136-Y136</f>
        <v>0</v>
      </c>
      <c r="AC136" s="203"/>
    </row>
    <row r="137" spans="2:29" ht="15.75" customHeight="1" x14ac:dyDescent="0.25">
      <c r="B137" s="178" t="s">
        <v>187</v>
      </c>
      <c r="C137" s="205" t="s">
        <v>193</v>
      </c>
      <c r="D137" s="131">
        <v>1</v>
      </c>
      <c r="E137" s="132"/>
      <c r="F137" s="132">
        <v>0</v>
      </c>
      <c r="G137" s="132">
        <v>0</v>
      </c>
      <c r="H137" s="133">
        <v>0</v>
      </c>
      <c r="I137" s="132">
        <v>0</v>
      </c>
      <c r="J137" s="132"/>
      <c r="K137" s="132"/>
      <c r="L137" s="134">
        <v>4299202</v>
      </c>
      <c r="M137" s="135">
        <v>300000</v>
      </c>
      <c r="N137" s="132"/>
      <c r="O137" s="136">
        <f t="shared" si="13"/>
        <v>300000</v>
      </c>
      <c r="P137" s="137">
        <v>300000</v>
      </c>
      <c r="Q137" s="132"/>
      <c r="R137" s="138">
        <f t="shared" si="20"/>
        <v>300000</v>
      </c>
      <c r="S137" s="190"/>
      <c r="T137" s="135">
        <v>300000</v>
      </c>
      <c r="U137" s="132">
        <v>0</v>
      </c>
      <c r="V137" s="136">
        <f t="shared" ref="V137:V154" si="21">T137+U137</f>
        <v>300000</v>
      </c>
      <c r="W137" s="137">
        <v>300000</v>
      </c>
      <c r="X137" s="132">
        <v>0</v>
      </c>
      <c r="Y137" s="138">
        <f t="shared" ref="Y137:Y153" si="22">W137+X137</f>
        <v>300000</v>
      </c>
      <c r="Z137" s="206"/>
      <c r="AA137" s="207"/>
      <c r="AC137" s="203"/>
    </row>
    <row r="138" spans="2:29" ht="15.75" customHeight="1" x14ac:dyDescent="0.25">
      <c r="B138" s="173" t="s">
        <v>187</v>
      </c>
      <c r="C138" s="131" t="s">
        <v>194</v>
      </c>
      <c r="D138" s="131">
        <v>1</v>
      </c>
      <c r="E138" s="132"/>
      <c r="F138" s="132"/>
      <c r="G138" s="132"/>
      <c r="H138" s="133"/>
      <c r="I138" s="132"/>
      <c r="J138" s="132"/>
      <c r="K138" s="132"/>
      <c r="L138" s="134">
        <v>4291231</v>
      </c>
      <c r="M138" s="135">
        <v>24800</v>
      </c>
      <c r="N138" s="132"/>
      <c r="O138" s="136">
        <f t="shared" si="13"/>
        <v>24800</v>
      </c>
      <c r="P138" s="137">
        <v>24800</v>
      </c>
      <c r="Q138" s="132"/>
      <c r="R138" s="138">
        <f t="shared" si="20"/>
        <v>24800</v>
      </c>
      <c r="S138" s="139"/>
      <c r="T138" s="135">
        <v>24800</v>
      </c>
      <c r="U138" s="132">
        <v>0</v>
      </c>
      <c r="V138" s="136">
        <f t="shared" si="21"/>
        <v>24800</v>
      </c>
      <c r="W138" s="137">
        <v>24800</v>
      </c>
      <c r="X138" s="132">
        <v>0</v>
      </c>
      <c r="Y138" s="138">
        <f t="shared" si="22"/>
        <v>24800</v>
      </c>
      <c r="Z138" s="201"/>
      <c r="AA138" s="202"/>
      <c r="AC138" s="203"/>
    </row>
    <row r="139" spans="2:29" ht="15.75" customHeight="1" x14ac:dyDescent="0.25">
      <c r="B139" s="173" t="s">
        <v>187</v>
      </c>
      <c r="C139" s="131" t="s">
        <v>195</v>
      </c>
      <c r="D139" s="131">
        <v>1</v>
      </c>
      <c r="E139" s="132"/>
      <c r="F139" s="132"/>
      <c r="G139" s="132"/>
      <c r="H139" s="133"/>
      <c r="I139" s="132"/>
      <c r="J139" s="132"/>
      <c r="K139" s="132"/>
      <c r="L139" s="134">
        <v>4299203</v>
      </c>
      <c r="M139" s="135">
        <v>164000</v>
      </c>
      <c r="N139" s="132"/>
      <c r="O139" s="136">
        <f t="shared" si="13"/>
        <v>164000</v>
      </c>
      <c r="P139" s="137">
        <v>164000</v>
      </c>
      <c r="Q139" s="132"/>
      <c r="R139" s="138">
        <f t="shared" si="20"/>
        <v>164000</v>
      </c>
      <c r="S139" s="139"/>
      <c r="T139" s="135">
        <v>164000</v>
      </c>
      <c r="U139" s="132">
        <v>0</v>
      </c>
      <c r="V139" s="136">
        <f t="shared" si="21"/>
        <v>164000</v>
      </c>
      <c r="W139" s="137">
        <v>164000</v>
      </c>
      <c r="X139" s="132">
        <v>0</v>
      </c>
      <c r="Y139" s="138">
        <f t="shared" si="22"/>
        <v>164000</v>
      </c>
      <c r="Z139" s="201"/>
      <c r="AA139" s="202"/>
      <c r="AC139" s="203"/>
    </row>
    <row r="140" spans="2:29" ht="15.75" customHeight="1" x14ac:dyDescent="0.25">
      <c r="B140" s="173" t="s">
        <v>187</v>
      </c>
      <c r="C140" s="131" t="s">
        <v>196</v>
      </c>
      <c r="D140" s="131">
        <v>1</v>
      </c>
      <c r="E140" s="132"/>
      <c r="F140" s="132"/>
      <c r="G140" s="132"/>
      <c r="H140" s="133"/>
      <c r="I140" s="132"/>
      <c r="J140" s="132"/>
      <c r="K140" s="132"/>
      <c r="L140" s="134">
        <v>4299207</v>
      </c>
      <c r="M140" s="135">
        <v>15000</v>
      </c>
      <c r="N140" s="132"/>
      <c r="O140" s="136">
        <f t="shared" si="13"/>
        <v>15000</v>
      </c>
      <c r="P140" s="137">
        <v>15000</v>
      </c>
      <c r="Q140" s="132"/>
      <c r="R140" s="138">
        <f t="shared" si="20"/>
        <v>15000</v>
      </c>
      <c r="S140" s="139"/>
      <c r="T140" s="135">
        <v>15000</v>
      </c>
      <c r="U140" s="132">
        <v>0</v>
      </c>
      <c r="V140" s="136">
        <f t="shared" si="21"/>
        <v>15000</v>
      </c>
      <c r="W140" s="137">
        <v>15000</v>
      </c>
      <c r="X140" s="132"/>
      <c r="Y140" s="138">
        <f t="shared" si="22"/>
        <v>15000</v>
      </c>
      <c r="Z140" s="201"/>
      <c r="AA140" s="202"/>
      <c r="AC140" s="203"/>
    </row>
    <row r="141" spans="2:29" ht="15.75" customHeight="1" x14ac:dyDescent="0.25">
      <c r="B141" s="173" t="s">
        <v>187</v>
      </c>
      <c r="C141" s="131" t="s">
        <v>197</v>
      </c>
      <c r="D141" s="131">
        <v>1</v>
      </c>
      <c r="E141" s="132"/>
      <c r="F141" s="132"/>
      <c r="G141" s="132"/>
      <c r="H141" s="133"/>
      <c r="I141" s="132"/>
      <c r="J141" s="132"/>
      <c r="K141" s="132"/>
      <c r="L141" s="134">
        <v>4641001</v>
      </c>
      <c r="M141" s="135">
        <v>10000</v>
      </c>
      <c r="N141" s="132"/>
      <c r="O141" s="136">
        <f t="shared" si="13"/>
        <v>10000</v>
      </c>
      <c r="P141" s="137">
        <v>10000</v>
      </c>
      <c r="Q141" s="132"/>
      <c r="R141" s="138">
        <f t="shared" si="20"/>
        <v>10000</v>
      </c>
      <c r="S141" s="139"/>
      <c r="T141" s="135">
        <v>10000</v>
      </c>
      <c r="U141" s="132"/>
      <c r="V141" s="136">
        <f t="shared" si="21"/>
        <v>10000</v>
      </c>
      <c r="W141" s="137">
        <v>10000</v>
      </c>
      <c r="X141" s="132"/>
      <c r="Y141" s="138">
        <f t="shared" si="22"/>
        <v>10000</v>
      </c>
      <c r="Z141" s="201"/>
      <c r="AA141" s="202"/>
      <c r="AC141" s="203"/>
    </row>
    <row r="142" spans="2:29" ht="15.75" customHeight="1" x14ac:dyDescent="0.25">
      <c r="B142" s="173" t="s">
        <v>187</v>
      </c>
      <c r="C142" s="131" t="s">
        <v>198</v>
      </c>
      <c r="D142" s="131">
        <v>1</v>
      </c>
      <c r="E142" s="132"/>
      <c r="F142" s="132"/>
      <c r="G142" s="132"/>
      <c r="H142" s="133"/>
      <c r="I142" s="132"/>
      <c r="J142" s="132"/>
      <c r="K142" s="132"/>
      <c r="L142" s="134">
        <v>4529001</v>
      </c>
      <c r="M142" s="135">
        <v>742000</v>
      </c>
      <c r="N142" s="132"/>
      <c r="O142" s="136">
        <f t="shared" si="13"/>
        <v>742000</v>
      </c>
      <c r="P142" s="137">
        <v>742000</v>
      </c>
      <c r="Q142" s="132"/>
      <c r="R142" s="138">
        <f t="shared" si="20"/>
        <v>742000</v>
      </c>
      <c r="S142" s="139"/>
      <c r="T142" s="135">
        <v>742000</v>
      </c>
      <c r="U142" s="132"/>
      <c r="V142" s="136">
        <f t="shared" si="21"/>
        <v>742000</v>
      </c>
      <c r="W142" s="137">
        <v>742000</v>
      </c>
      <c r="X142" s="132"/>
      <c r="Y142" s="138">
        <f t="shared" si="22"/>
        <v>742000</v>
      </c>
      <c r="Z142" s="201"/>
      <c r="AA142" s="202"/>
      <c r="AC142" s="203"/>
    </row>
    <row r="143" spans="2:29" ht="19.5" customHeight="1" x14ac:dyDescent="0.25">
      <c r="B143" s="173" t="s">
        <v>187</v>
      </c>
      <c r="C143" s="208" t="s">
        <v>199</v>
      </c>
      <c r="D143" s="208">
        <v>1</v>
      </c>
      <c r="E143" s="209"/>
      <c r="F143" s="209"/>
      <c r="G143" s="209"/>
      <c r="H143" s="210"/>
      <c r="I143" s="209"/>
      <c r="J143" s="209"/>
      <c r="K143" s="209"/>
      <c r="L143" s="211">
        <v>4291305</v>
      </c>
      <c r="M143" s="212">
        <v>246800</v>
      </c>
      <c r="N143" s="209">
        <v>-18800</v>
      </c>
      <c r="O143" s="213">
        <f t="shared" si="13"/>
        <v>228000</v>
      </c>
      <c r="P143" s="214">
        <v>228000</v>
      </c>
      <c r="Q143" s="209"/>
      <c r="R143" s="138">
        <f t="shared" si="20"/>
        <v>228000</v>
      </c>
      <c r="S143" s="215"/>
      <c r="T143" s="212">
        <v>228000</v>
      </c>
      <c r="U143" s="209"/>
      <c r="V143" s="136">
        <f t="shared" si="21"/>
        <v>228000</v>
      </c>
      <c r="W143" s="214">
        <v>228000</v>
      </c>
      <c r="X143" s="209"/>
      <c r="Y143" s="138">
        <f t="shared" si="22"/>
        <v>228000</v>
      </c>
      <c r="Z143" s="216"/>
      <c r="AA143" s="217"/>
      <c r="AC143" s="203"/>
    </row>
    <row r="144" spans="2:29" ht="15.75" customHeight="1" x14ac:dyDescent="0.25">
      <c r="B144" s="178" t="s">
        <v>187</v>
      </c>
      <c r="C144" s="208" t="s">
        <v>200</v>
      </c>
      <c r="D144" s="208">
        <v>1</v>
      </c>
      <c r="E144" s="209"/>
      <c r="F144" s="209"/>
      <c r="G144" s="209"/>
      <c r="H144" s="210"/>
      <c r="I144" s="209"/>
      <c r="J144" s="209"/>
      <c r="K144" s="209"/>
      <c r="L144" s="211">
        <v>4299502</v>
      </c>
      <c r="M144" s="212">
        <v>137000</v>
      </c>
      <c r="N144" s="209">
        <v>-47000</v>
      </c>
      <c r="O144" s="213">
        <f t="shared" si="13"/>
        <v>90000</v>
      </c>
      <c r="P144" s="214">
        <v>90000</v>
      </c>
      <c r="Q144" s="209"/>
      <c r="R144" s="138">
        <f t="shared" si="20"/>
        <v>90000</v>
      </c>
      <c r="S144" s="215"/>
      <c r="T144" s="212">
        <v>90000</v>
      </c>
      <c r="U144" s="209"/>
      <c r="V144" s="136">
        <f t="shared" si="21"/>
        <v>90000</v>
      </c>
      <c r="W144" s="214">
        <v>90000</v>
      </c>
      <c r="X144" s="209"/>
      <c r="Y144" s="138">
        <f t="shared" si="22"/>
        <v>90000</v>
      </c>
      <c r="Z144" s="216"/>
      <c r="AA144" s="217"/>
      <c r="AC144" s="203"/>
    </row>
    <row r="145" spans="2:29" ht="15.75" customHeight="1" x14ac:dyDescent="0.25">
      <c r="B145" s="173" t="s">
        <v>187</v>
      </c>
      <c r="C145" s="208" t="s">
        <v>201</v>
      </c>
      <c r="D145" s="208">
        <v>1</v>
      </c>
      <c r="E145" s="209"/>
      <c r="F145" s="209"/>
      <c r="G145" s="209"/>
      <c r="H145" s="210"/>
      <c r="I145" s="209"/>
      <c r="J145" s="209"/>
      <c r="K145" s="209"/>
      <c r="L145" s="211">
        <v>4754001</v>
      </c>
      <c r="M145" s="212">
        <v>1000000</v>
      </c>
      <c r="N145" s="209">
        <v>-280000</v>
      </c>
      <c r="O145" s="213">
        <f t="shared" si="13"/>
        <v>720000</v>
      </c>
      <c r="P145" s="214">
        <v>720000</v>
      </c>
      <c r="Q145" s="209"/>
      <c r="R145" s="138">
        <f t="shared" si="20"/>
        <v>720000</v>
      </c>
      <c r="S145" s="215"/>
      <c r="T145" s="212">
        <v>720000</v>
      </c>
      <c r="U145" s="209"/>
      <c r="V145" s="136">
        <f t="shared" si="21"/>
        <v>720000</v>
      </c>
      <c r="W145" s="214">
        <v>720000</v>
      </c>
      <c r="X145" s="209"/>
      <c r="Y145" s="138">
        <f t="shared" si="22"/>
        <v>720000</v>
      </c>
      <c r="Z145" s="216"/>
      <c r="AA145" s="217"/>
      <c r="AC145" s="203"/>
    </row>
    <row r="146" spans="2:29" ht="15.75" customHeight="1" x14ac:dyDescent="0.25">
      <c r="B146" s="173" t="s">
        <v>187</v>
      </c>
      <c r="C146" s="208" t="s">
        <v>202</v>
      </c>
      <c r="D146" s="208">
        <v>1</v>
      </c>
      <c r="E146" s="209"/>
      <c r="F146" s="209"/>
      <c r="G146" s="209"/>
      <c r="H146" s="210"/>
      <c r="I146" s="209"/>
      <c r="J146" s="209"/>
      <c r="K146" s="209"/>
      <c r="L146" s="211">
        <v>4516003</v>
      </c>
      <c r="M146" s="212">
        <v>129167</v>
      </c>
      <c r="N146" s="209">
        <v>-44167</v>
      </c>
      <c r="O146" s="213">
        <f t="shared" si="13"/>
        <v>85000</v>
      </c>
      <c r="P146" s="214">
        <v>85000</v>
      </c>
      <c r="Q146" s="209"/>
      <c r="R146" s="138">
        <f t="shared" si="20"/>
        <v>85000</v>
      </c>
      <c r="S146" s="215"/>
      <c r="T146" s="212">
        <v>85000</v>
      </c>
      <c r="U146" s="209"/>
      <c r="V146" s="136">
        <f t="shared" si="21"/>
        <v>85000</v>
      </c>
      <c r="W146" s="214">
        <v>85000</v>
      </c>
      <c r="X146" s="209"/>
      <c r="Y146" s="138">
        <f t="shared" si="22"/>
        <v>85000</v>
      </c>
      <c r="Z146" s="216"/>
      <c r="AA146" s="217"/>
      <c r="AC146" s="203"/>
    </row>
    <row r="147" spans="2:29" ht="15.75" customHeight="1" x14ac:dyDescent="0.25">
      <c r="B147" s="173" t="s">
        <v>187</v>
      </c>
      <c r="C147" s="208" t="s">
        <v>203</v>
      </c>
      <c r="D147" s="208">
        <v>1</v>
      </c>
      <c r="E147" s="209"/>
      <c r="F147" s="209"/>
      <c r="G147" s="209"/>
      <c r="H147" s="210"/>
      <c r="I147" s="209"/>
      <c r="J147" s="209"/>
      <c r="K147" s="209"/>
      <c r="L147" s="211">
        <v>4526101</v>
      </c>
      <c r="M147" s="212">
        <v>366500</v>
      </c>
      <c r="N147" s="209">
        <v>-16500</v>
      </c>
      <c r="O147" s="213">
        <f t="shared" si="13"/>
        <v>350000</v>
      </c>
      <c r="P147" s="214">
        <v>350000</v>
      </c>
      <c r="Q147" s="209"/>
      <c r="R147" s="138">
        <f t="shared" si="20"/>
        <v>350000</v>
      </c>
      <c r="S147" s="215"/>
      <c r="T147" s="212">
        <v>350000</v>
      </c>
      <c r="U147" s="209"/>
      <c r="V147" s="136">
        <f t="shared" si="21"/>
        <v>350000</v>
      </c>
      <c r="W147" s="214">
        <v>350000</v>
      </c>
      <c r="X147" s="209"/>
      <c r="Y147" s="138">
        <f t="shared" si="22"/>
        <v>350000</v>
      </c>
      <c r="Z147" s="216"/>
      <c r="AA147" s="217"/>
      <c r="AC147" s="203"/>
    </row>
    <row r="148" spans="2:29" ht="15.75" customHeight="1" x14ac:dyDescent="0.25">
      <c r="B148" s="173" t="s">
        <v>187</v>
      </c>
      <c r="C148" s="208" t="s">
        <v>204</v>
      </c>
      <c r="D148" s="208">
        <v>1</v>
      </c>
      <c r="E148" s="209"/>
      <c r="F148" s="209"/>
      <c r="G148" s="209"/>
      <c r="H148" s="210"/>
      <c r="I148" s="209"/>
      <c r="J148" s="209"/>
      <c r="K148" s="209"/>
      <c r="L148" s="211">
        <v>4513002</v>
      </c>
      <c r="M148" s="212">
        <v>191600</v>
      </c>
      <c r="N148" s="209">
        <v>-11600</v>
      </c>
      <c r="O148" s="213">
        <f t="shared" si="13"/>
        <v>180000</v>
      </c>
      <c r="P148" s="214">
        <v>180000</v>
      </c>
      <c r="Q148" s="209"/>
      <c r="R148" s="138">
        <f t="shared" si="20"/>
        <v>180000</v>
      </c>
      <c r="S148" s="215"/>
      <c r="T148" s="212">
        <v>180000</v>
      </c>
      <c r="U148" s="209"/>
      <c r="V148" s="136">
        <f t="shared" si="21"/>
        <v>180000</v>
      </c>
      <c r="W148" s="214">
        <v>180000</v>
      </c>
      <c r="X148" s="209"/>
      <c r="Y148" s="138">
        <f t="shared" si="22"/>
        <v>180000</v>
      </c>
      <c r="Z148" s="216"/>
      <c r="AA148" s="217"/>
      <c r="AC148" s="203"/>
    </row>
    <row r="149" spans="2:29" ht="15.75" customHeight="1" x14ac:dyDescent="0.25">
      <c r="B149" s="173" t="s">
        <v>187</v>
      </c>
      <c r="C149" s="208" t="s">
        <v>205</v>
      </c>
      <c r="D149" s="208">
        <v>1</v>
      </c>
      <c r="E149" s="209"/>
      <c r="F149" s="209"/>
      <c r="G149" s="209"/>
      <c r="H149" s="210"/>
      <c r="I149" s="209"/>
      <c r="J149" s="209"/>
      <c r="K149" s="209"/>
      <c r="L149" s="211">
        <v>4529001</v>
      </c>
      <c r="M149" s="212">
        <v>229500</v>
      </c>
      <c r="N149" s="209">
        <v>-13500</v>
      </c>
      <c r="O149" s="213">
        <f t="shared" si="13"/>
        <v>216000</v>
      </c>
      <c r="P149" s="214">
        <v>216000</v>
      </c>
      <c r="Q149" s="209"/>
      <c r="R149" s="138">
        <f t="shared" si="20"/>
        <v>216000</v>
      </c>
      <c r="S149" s="215"/>
      <c r="T149" s="212">
        <v>216000</v>
      </c>
      <c r="U149" s="209"/>
      <c r="V149" s="136">
        <f t="shared" si="21"/>
        <v>216000</v>
      </c>
      <c r="W149" s="214">
        <v>216000</v>
      </c>
      <c r="X149" s="209"/>
      <c r="Y149" s="138">
        <f t="shared" si="22"/>
        <v>216000</v>
      </c>
      <c r="Z149" s="216"/>
      <c r="AA149" s="217"/>
      <c r="AC149" s="203"/>
    </row>
    <row r="150" spans="2:29" ht="15.75" customHeight="1" x14ac:dyDescent="0.25">
      <c r="B150" s="178" t="s">
        <v>187</v>
      </c>
      <c r="C150" s="188" t="s">
        <v>206</v>
      </c>
      <c r="D150" s="208">
        <v>1</v>
      </c>
      <c r="E150" s="209"/>
      <c r="F150" s="209"/>
      <c r="G150" s="209"/>
      <c r="H150" s="210"/>
      <c r="I150" s="209"/>
      <c r="J150" s="209"/>
      <c r="K150" s="209"/>
      <c r="L150" s="211">
        <v>4411901</v>
      </c>
      <c r="M150" s="212">
        <v>37400</v>
      </c>
      <c r="N150" s="209">
        <v>-740</v>
      </c>
      <c r="O150" s="213">
        <f>+M150+N150</f>
        <v>36660</v>
      </c>
      <c r="P150" s="214">
        <v>36660</v>
      </c>
      <c r="Q150" s="209"/>
      <c r="R150" s="138">
        <f t="shared" si="20"/>
        <v>36660</v>
      </c>
      <c r="S150" s="215"/>
      <c r="T150" s="212">
        <v>36660</v>
      </c>
      <c r="U150" s="209"/>
      <c r="V150" s="136">
        <f t="shared" si="21"/>
        <v>36660</v>
      </c>
      <c r="W150" s="214">
        <v>36660</v>
      </c>
      <c r="X150" s="209"/>
      <c r="Y150" s="138">
        <f t="shared" si="22"/>
        <v>36660</v>
      </c>
      <c r="Z150" s="216"/>
      <c r="AA150" s="217"/>
      <c r="AC150" s="203"/>
    </row>
    <row r="151" spans="2:29" ht="15.75" customHeight="1" x14ac:dyDescent="0.25">
      <c r="B151" s="173" t="s">
        <v>187</v>
      </c>
      <c r="C151" s="188" t="s">
        <v>207</v>
      </c>
      <c r="D151" s="208">
        <v>1</v>
      </c>
      <c r="E151" s="209"/>
      <c r="F151" s="209"/>
      <c r="G151" s="209"/>
      <c r="H151" s="210"/>
      <c r="I151" s="209"/>
      <c r="J151" s="209"/>
      <c r="K151" s="209"/>
      <c r="L151" s="211">
        <v>4291231</v>
      </c>
      <c r="M151" s="212">
        <v>5000</v>
      </c>
      <c r="N151" s="209">
        <v>-1360</v>
      </c>
      <c r="O151" s="213">
        <f>+M151+N151</f>
        <v>3640</v>
      </c>
      <c r="P151" s="214">
        <v>3640</v>
      </c>
      <c r="Q151" s="209"/>
      <c r="R151" s="138">
        <f t="shared" si="20"/>
        <v>3640</v>
      </c>
      <c r="S151" s="215"/>
      <c r="T151" s="212">
        <v>3640</v>
      </c>
      <c r="U151" s="209"/>
      <c r="V151" s="136">
        <f t="shared" si="21"/>
        <v>3640</v>
      </c>
      <c r="W151" s="214">
        <v>3640</v>
      </c>
      <c r="X151" s="209"/>
      <c r="Y151" s="138">
        <f t="shared" si="22"/>
        <v>3640</v>
      </c>
      <c r="Z151" s="216"/>
      <c r="AA151" s="217"/>
      <c r="AC151" s="203"/>
    </row>
    <row r="152" spans="2:29" ht="24" customHeight="1" x14ac:dyDescent="0.25">
      <c r="B152" s="173" t="s">
        <v>187</v>
      </c>
      <c r="C152" s="188" t="s">
        <v>208</v>
      </c>
      <c r="D152" s="131">
        <v>1</v>
      </c>
      <c r="E152" s="132"/>
      <c r="F152" s="132"/>
      <c r="G152" s="132"/>
      <c r="H152" s="133"/>
      <c r="I152" s="132"/>
      <c r="J152" s="132"/>
      <c r="K152" s="132"/>
      <c r="L152" s="218">
        <v>4291231</v>
      </c>
      <c r="M152" s="135">
        <v>17000</v>
      </c>
      <c r="N152" s="132">
        <v>-10760</v>
      </c>
      <c r="O152" s="213">
        <f>+M152+N152</f>
        <v>6240</v>
      </c>
      <c r="P152" s="135">
        <v>6240</v>
      </c>
      <c r="Q152" s="132"/>
      <c r="R152" s="138">
        <f t="shared" si="20"/>
        <v>6240</v>
      </c>
      <c r="S152" s="139"/>
      <c r="T152" s="135">
        <v>6240</v>
      </c>
      <c r="U152" s="132"/>
      <c r="V152" s="136">
        <f t="shared" si="21"/>
        <v>6240</v>
      </c>
      <c r="W152" s="135">
        <v>6240</v>
      </c>
      <c r="X152" s="132"/>
      <c r="Y152" s="138">
        <f t="shared" si="22"/>
        <v>6240</v>
      </c>
      <c r="Z152" s="201"/>
      <c r="AA152" s="202"/>
      <c r="AC152" s="203"/>
    </row>
    <row r="153" spans="2:29" ht="15.75" customHeight="1" x14ac:dyDescent="0.25">
      <c r="B153" s="173" t="s">
        <v>187</v>
      </c>
      <c r="C153" s="188" t="s">
        <v>209</v>
      </c>
      <c r="D153" s="131">
        <v>1</v>
      </c>
      <c r="E153" s="132"/>
      <c r="F153" s="132"/>
      <c r="G153" s="132"/>
      <c r="H153" s="133"/>
      <c r="I153" s="132"/>
      <c r="J153" s="132"/>
      <c r="K153" s="132"/>
      <c r="L153" s="218"/>
      <c r="M153" s="135">
        <v>17000</v>
      </c>
      <c r="N153" s="132"/>
      <c r="O153" s="213">
        <f>+M153+N153</f>
        <v>17000</v>
      </c>
      <c r="P153" s="135">
        <v>17000</v>
      </c>
      <c r="Q153" s="132"/>
      <c r="R153" s="138">
        <f t="shared" si="20"/>
        <v>17000</v>
      </c>
      <c r="S153" s="139"/>
      <c r="T153" s="135">
        <v>17000</v>
      </c>
      <c r="U153" s="132"/>
      <c r="V153" s="136">
        <f t="shared" si="21"/>
        <v>17000</v>
      </c>
      <c r="W153" s="219">
        <v>17000</v>
      </c>
      <c r="X153" s="220"/>
      <c r="Y153" s="221">
        <f t="shared" si="22"/>
        <v>17000</v>
      </c>
      <c r="Z153" s="201"/>
      <c r="AA153" s="222"/>
      <c r="AC153" s="203"/>
    </row>
    <row r="154" spans="2:29" ht="16.5" customHeight="1" thickBot="1" x14ac:dyDescent="0.3">
      <c r="B154" s="173" t="s">
        <v>187</v>
      </c>
      <c r="C154" s="223" t="s">
        <v>210</v>
      </c>
      <c r="D154" s="224"/>
      <c r="E154" s="225"/>
      <c r="F154" s="225"/>
      <c r="G154" s="225"/>
      <c r="H154" s="226"/>
      <c r="I154" s="225"/>
      <c r="J154" s="225"/>
      <c r="K154" s="225"/>
      <c r="L154" s="227">
        <v>45221</v>
      </c>
      <c r="M154" s="228"/>
      <c r="N154" s="225">
        <v>42140000</v>
      </c>
      <c r="O154" s="213">
        <f>+M154+N154</f>
        <v>42140000</v>
      </c>
      <c r="P154" s="229"/>
      <c r="Q154" s="225">
        <f>28360000+13780000</f>
        <v>42140000</v>
      </c>
      <c r="R154" s="138">
        <f t="shared" si="20"/>
        <v>42140000</v>
      </c>
      <c r="S154" s="230"/>
      <c r="T154" s="228"/>
      <c r="U154" s="225">
        <v>42140000</v>
      </c>
      <c r="V154" s="136">
        <f t="shared" si="21"/>
        <v>42140000</v>
      </c>
      <c r="W154" s="229"/>
      <c r="X154" s="225"/>
      <c r="Y154" s="231"/>
      <c r="Z154" s="232">
        <f>V154-Y154</f>
        <v>42140000</v>
      </c>
      <c r="AA154" s="233"/>
      <c r="AC154" s="203"/>
    </row>
    <row r="155" spans="2:29" s="96" customFormat="1" ht="16.5" customHeight="1" thickBot="1" x14ac:dyDescent="0.3">
      <c r="B155" s="234" t="s">
        <v>211</v>
      </c>
      <c r="C155" s="235" t="s">
        <v>212</v>
      </c>
      <c r="D155" s="235"/>
      <c r="E155" s="236">
        <f>+E156+E172+E180+E220+E232+E164+E214+E227+E238</f>
        <v>342300000</v>
      </c>
      <c r="F155" s="236">
        <f>+F156+F172+F180+F220+F232+F164+F214+F227+F238</f>
        <v>178827439</v>
      </c>
      <c r="G155" s="236">
        <f>+G156+G172+G180+G220+G232+G164+G214+G227+G238</f>
        <v>32682099</v>
      </c>
      <c r="H155" s="236">
        <f>+H156+H172+H180+H220+H232</f>
        <v>0</v>
      </c>
      <c r="I155" s="236">
        <f>+I156+I172+I180+I220+I232</f>
        <v>0</v>
      </c>
      <c r="J155" s="236">
        <f>J156+J164+J172+J180+J214+J220+J232+J238</f>
        <v>160500000</v>
      </c>
      <c r="K155" s="236">
        <f>+K156+K172+K180+K220+K232+K164+K214+K227+K238</f>
        <v>648945340</v>
      </c>
      <c r="L155" s="237"/>
      <c r="M155" s="238">
        <f>+M156+M172+M180+M220+M232+M164+M214+M238+M227+M245+M253</f>
        <v>433298795</v>
      </c>
      <c r="N155" s="236">
        <f>N156+N164+N172+N180+N214+N220+N232+N238</f>
        <v>186920479</v>
      </c>
      <c r="O155" s="239">
        <f>+N155+M155</f>
        <v>620219274</v>
      </c>
      <c r="P155" s="240">
        <f>+P156+P172+P180+P220+P232+P164+P214+P238+P227+P245+P253</f>
        <v>430348795</v>
      </c>
      <c r="Q155" s="236">
        <f>Q156+Q164+Q172+Q180+Q214+Q220+Q232+Q238+Q227+Q245+Q253</f>
        <v>188896479</v>
      </c>
      <c r="R155" s="241">
        <f>+Q155+P155</f>
        <v>619245274</v>
      </c>
      <c r="S155" s="242">
        <f>+K155-R155</f>
        <v>29700066</v>
      </c>
      <c r="T155" s="238">
        <f>+T156+T172+T180+T220+T232+T164+T214+T238</f>
        <v>316592795</v>
      </c>
      <c r="U155" s="236">
        <f>U156+U164+U172+U180+U214+U220+U232+U238</f>
        <v>234304359</v>
      </c>
      <c r="V155" s="239">
        <f>+T155+U155</f>
        <v>550897154</v>
      </c>
      <c r="W155" s="240">
        <f>+W156+W172+W180+W220+W232+W164+W214+W238</f>
        <v>316592795</v>
      </c>
      <c r="X155" s="236">
        <f>X156+X164+X172+X180+X214+X220+X232+X238</f>
        <v>228304359</v>
      </c>
      <c r="Y155" s="241">
        <f>Y156+Y172+Y180+Y220+Y232+Y164+Y214+Y238</f>
        <v>544897154</v>
      </c>
      <c r="Z155" s="243"/>
      <c r="AA155" s="244">
        <f>AA156+AA164+AA172+AA180+AA214+AA220+AA227+AA232+AA238</f>
        <v>49000000</v>
      </c>
    </row>
    <row r="156" spans="2:29" s="96" customFormat="1" ht="68.25" customHeight="1" x14ac:dyDescent="0.25">
      <c r="B156" s="245" t="s">
        <v>213</v>
      </c>
      <c r="C156" s="246" t="s">
        <v>214</v>
      </c>
      <c r="D156" s="246">
        <v>1</v>
      </c>
      <c r="E156" s="247">
        <v>40600000</v>
      </c>
      <c r="F156" s="247">
        <f>SUM(F158:F161)</f>
        <v>4283227</v>
      </c>
      <c r="G156" s="247">
        <f>SUM(G158)</f>
        <v>0</v>
      </c>
      <c r="H156" s="247">
        <f>+H159+H174+H182+H223+H234</f>
        <v>0</v>
      </c>
      <c r="I156" s="247">
        <v>0</v>
      </c>
      <c r="J156" s="247">
        <f>SUM(J157:J162)</f>
        <v>10000000</v>
      </c>
      <c r="K156" s="247">
        <f>E156+F156-G156-I156+J156</f>
        <v>54883227</v>
      </c>
      <c r="L156" s="248"/>
      <c r="M156" s="249">
        <f>SUM(M157:M163)</f>
        <v>40600000</v>
      </c>
      <c r="N156" s="247">
        <f>SUM(N159:N163)</f>
        <v>6901100</v>
      </c>
      <c r="O156" s="250">
        <f>+N156+M156</f>
        <v>47501100</v>
      </c>
      <c r="P156" s="251">
        <f>SUM(P159:P162)</f>
        <v>40600000</v>
      </c>
      <c r="Q156" s="247">
        <f>SUM(Q159:Q163)</f>
        <v>6901100</v>
      </c>
      <c r="R156" s="252">
        <f>+Q156+P156</f>
        <v>47501100</v>
      </c>
      <c r="S156" s="253">
        <f>+K156-R156</f>
        <v>7382127</v>
      </c>
      <c r="T156" s="249">
        <f>SUM(T159:T162)</f>
        <v>40600000</v>
      </c>
      <c r="U156" s="247">
        <f>SUM(U159:U163)</f>
        <v>6901100</v>
      </c>
      <c r="V156" s="250">
        <f>T156+U156</f>
        <v>47501100</v>
      </c>
      <c r="W156" s="251">
        <f>SUM(W159:W163)</f>
        <v>40600000</v>
      </c>
      <c r="X156" s="247">
        <f>SUM(X159:X163)</f>
        <v>6901100</v>
      </c>
      <c r="Y156" s="252">
        <f>W156+X156</f>
        <v>47501100</v>
      </c>
      <c r="Z156" s="254">
        <f>SUM(Z157:Z163)</f>
        <v>0</v>
      </c>
      <c r="AA156" s="255">
        <f>+V156-Y156</f>
        <v>0</v>
      </c>
    </row>
    <row r="157" spans="2:29" s="45" customFormat="1" ht="15.75" customHeight="1" x14ac:dyDescent="0.25">
      <c r="B157" s="173" t="s">
        <v>213</v>
      </c>
      <c r="C157" s="256" t="s">
        <v>190</v>
      </c>
      <c r="D157" s="256">
        <v>1</v>
      </c>
      <c r="E157" s="257"/>
      <c r="F157" s="257"/>
      <c r="G157" s="257"/>
      <c r="H157" s="257"/>
      <c r="I157" s="257"/>
      <c r="J157" s="257">
        <v>10000000</v>
      </c>
      <c r="K157" s="257"/>
      <c r="L157" s="258"/>
      <c r="M157" s="259"/>
      <c r="N157" s="257"/>
      <c r="O157" s="260"/>
      <c r="P157" s="261"/>
      <c r="Q157" s="257"/>
      <c r="R157" s="262"/>
      <c r="S157" s="263"/>
      <c r="T157" s="259"/>
      <c r="U157" s="257"/>
      <c r="V157" s="260"/>
      <c r="W157" s="261"/>
      <c r="X157" s="257"/>
      <c r="Y157" s="262"/>
      <c r="Z157" s="264"/>
      <c r="AA157" s="265"/>
    </row>
    <row r="158" spans="2:29" s="45" customFormat="1" ht="15.75" customHeight="1" x14ac:dyDescent="0.25">
      <c r="B158" s="173" t="s">
        <v>213</v>
      </c>
      <c r="C158" s="175" t="s">
        <v>97</v>
      </c>
      <c r="D158" s="256">
        <v>1</v>
      </c>
      <c r="E158" s="257"/>
      <c r="F158" s="257">
        <v>4283227</v>
      </c>
      <c r="G158" s="257"/>
      <c r="H158" s="257"/>
      <c r="I158" s="257"/>
      <c r="J158" s="257"/>
      <c r="K158" s="257"/>
      <c r="L158" s="258"/>
      <c r="M158" s="259"/>
      <c r="N158" s="257"/>
      <c r="O158" s="260"/>
      <c r="P158" s="261"/>
      <c r="Q158" s="257"/>
      <c r="R158" s="262"/>
      <c r="S158" s="263"/>
      <c r="T158" s="259"/>
      <c r="U158" s="257"/>
      <c r="V158" s="260"/>
      <c r="W158" s="261"/>
      <c r="X158" s="257"/>
      <c r="Y158" s="262"/>
      <c r="Z158" s="264"/>
      <c r="AA158" s="265"/>
    </row>
    <row r="159" spans="2:29" ht="13.5" customHeight="1" x14ac:dyDescent="0.25">
      <c r="B159" s="173" t="s">
        <v>213</v>
      </c>
      <c r="C159" s="131" t="s">
        <v>215</v>
      </c>
      <c r="D159" s="131">
        <v>1</v>
      </c>
      <c r="E159" s="132"/>
      <c r="F159" s="147">
        <v>0</v>
      </c>
      <c r="G159" s="147">
        <v>0</v>
      </c>
      <c r="H159" s="147">
        <f>+H161+H179+H185+H225+H237</f>
        <v>0</v>
      </c>
      <c r="I159" s="147">
        <v>0</v>
      </c>
      <c r="J159" s="147">
        <v>0</v>
      </c>
      <c r="K159" s="132"/>
      <c r="L159" s="134">
        <v>68021</v>
      </c>
      <c r="M159" s="135">
        <v>68000</v>
      </c>
      <c r="N159" s="132"/>
      <c r="O159" s="136">
        <f>+M159+N159</f>
        <v>68000</v>
      </c>
      <c r="P159" s="137">
        <v>68000</v>
      </c>
      <c r="Q159" s="132"/>
      <c r="R159" s="138">
        <f>P159+Q159</f>
        <v>68000</v>
      </c>
      <c r="S159" s="190">
        <v>0</v>
      </c>
      <c r="T159" s="135">
        <v>68000</v>
      </c>
      <c r="U159" s="132">
        <v>0</v>
      </c>
      <c r="V159" s="136">
        <f>+T159+U159</f>
        <v>68000</v>
      </c>
      <c r="W159" s="137">
        <v>68000</v>
      </c>
      <c r="X159" s="132">
        <v>0</v>
      </c>
      <c r="Y159" s="138">
        <f t="shared" si="5"/>
        <v>68000</v>
      </c>
      <c r="Z159" s="174">
        <f t="shared" ref="Z159:AA161" si="23">+U159-X159</f>
        <v>0</v>
      </c>
      <c r="AA159" s="148">
        <f t="shared" si="23"/>
        <v>0</v>
      </c>
    </row>
    <row r="160" spans="2:29" ht="13.5" customHeight="1" x14ac:dyDescent="0.25">
      <c r="B160" s="173" t="s">
        <v>213</v>
      </c>
      <c r="C160" s="131" t="s">
        <v>216</v>
      </c>
      <c r="D160" s="131">
        <v>1</v>
      </c>
      <c r="E160" s="132"/>
      <c r="F160" s="147">
        <v>0</v>
      </c>
      <c r="G160" s="147">
        <v>0</v>
      </c>
      <c r="H160" s="147">
        <f>+H172+H180+H187+H232+H243</f>
        <v>0</v>
      </c>
      <c r="I160" s="147">
        <v>0</v>
      </c>
      <c r="J160" s="147"/>
      <c r="K160" s="132"/>
      <c r="L160" s="134">
        <v>64241</v>
      </c>
      <c r="M160" s="135">
        <v>3074170</v>
      </c>
      <c r="N160" s="132">
        <v>5441100</v>
      </c>
      <c r="O160" s="136">
        <f>+M160+N160</f>
        <v>8515270</v>
      </c>
      <c r="P160" s="137">
        <v>3074170</v>
      </c>
      <c r="Q160" s="132">
        <v>5441100</v>
      </c>
      <c r="R160" s="138">
        <f>P160+Q160</f>
        <v>8515270</v>
      </c>
      <c r="S160" s="190"/>
      <c r="T160" s="135">
        <v>3074170</v>
      </c>
      <c r="U160" s="132">
        <v>5441100</v>
      </c>
      <c r="V160" s="136">
        <f>+T160+U160</f>
        <v>8515270</v>
      </c>
      <c r="W160" s="137">
        <v>3074170</v>
      </c>
      <c r="X160" s="132">
        <v>5441100</v>
      </c>
      <c r="Y160" s="138">
        <f t="shared" si="5"/>
        <v>8515270</v>
      </c>
      <c r="Z160" s="174">
        <f t="shared" si="23"/>
        <v>0</v>
      </c>
      <c r="AA160" s="148">
        <f t="shared" si="23"/>
        <v>0</v>
      </c>
    </row>
    <row r="161" spans="2:27" ht="14.25" customHeight="1" x14ac:dyDescent="0.25">
      <c r="B161" s="173" t="s">
        <v>213</v>
      </c>
      <c r="C161" s="131" t="s">
        <v>217</v>
      </c>
      <c r="D161" s="131">
        <v>1</v>
      </c>
      <c r="E161" s="132"/>
      <c r="F161" s="147">
        <v>0</v>
      </c>
      <c r="G161" s="147">
        <v>0</v>
      </c>
      <c r="H161" s="147">
        <f>+H172+H180+H197+H232+H243</f>
        <v>0</v>
      </c>
      <c r="I161" s="147">
        <v>0</v>
      </c>
      <c r="J161" s="147">
        <v>0</v>
      </c>
      <c r="K161" s="132"/>
      <c r="L161" s="134">
        <v>64220</v>
      </c>
      <c r="M161" s="135">
        <v>12337428</v>
      </c>
      <c r="N161" s="132">
        <f>200000+200000+200000+300000+200000+300000</f>
        <v>1400000</v>
      </c>
      <c r="O161" s="136">
        <f>+M161+N161</f>
        <v>13737428</v>
      </c>
      <c r="P161" s="137">
        <v>12337428</v>
      </c>
      <c r="Q161" s="132">
        <f>200000+200000+200000+300000+200000+300000</f>
        <v>1400000</v>
      </c>
      <c r="R161" s="138">
        <f>P161+Q161</f>
        <v>13737428</v>
      </c>
      <c r="S161" s="190">
        <v>0</v>
      </c>
      <c r="T161" s="135">
        <v>12337428</v>
      </c>
      <c r="U161" s="132">
        <v>1400000</v>
      </c>
      <c r="V161" s="136">
        <f>+T161+U161</f>
        <v>13737428</v>
      </c>
      <c r="W161" s="137">
        <v>12337428</v>
      </c>
      <c r="X161" s="132">
        <v>1400000</v>
      </c>
      <c r="Y161" s="138">
        <f t="shared" si="5"/>
        <v>13737428</v>
      </c>
      <c r="Z161" s="174">
        <f t="shared" si="23"/>
        <v>0</v>
      </c>
      <c r="AA161" s="148">
        <f t="shared" si="23"/>
        <v>0</v>
      </c>
    </row>
    <row r="162" spans="2:27" ht="14.25" customHeight="1" x14ac:dyDescent="0.25">
      <c r="B162" s="173" t="s">
        <v>213</v>
      </c>
      <c r="C162" s="131" t="s">
        <v>218</v>
      </c>
      <c r="D162" s="131">
        <v>1</v>
      </c>
      <c r="E162" s="132"/>
      <c r="F162" s="147">
        <v>0</v>
      </c>
      <c r="G162" s="147">
        <v>0</v>
      </c>
      <c r="H162" s="147">
        <f>+H174+H182+H198+H234+H244</f>
        <v>0</v>
      </c>
      <c r="I162" s="147">
        <v>0</v>
      </c>
      <c r="J162" s="147">
        <v>0</v>
      </c>
      <c r="K162" s="132"/>
      <c r="L162" s="134" t="s">
        <v>219</v>
      </c>
      <c r="M162" s="135">
        <v>25120402</v>
      </c>
      <c r="N162" s="132"/>
      <c r="O162" s="136">
        <f>+M162+N162</f>
        <v>25120402</v>
      </c>
      <c r="P162" s="137">
        <v>25120402</v>
      </c>
      <c r="Q162" s="132"/>
      <c r="R162" s="138">
        <f>P162+Q162</f>
        <v>25120402</v>
      </c>
      <c r="S162" s="190"/>
      <c r="T162" s="135">
        <v>25120402</v>
      </c>
      <c r="U162" s="132"/>
      <c r="V162" s="136">
        <f>+T162+U162</f>
        <v>25120402</v>
      </c>
      <c r="W162" s="137">
        <v>25120402</v>
      </c>
      <c r="X162" s="132"/>
      <c r="Y162" s="138">
        <f t="shared" si="5"/>
        <v>25120402</v>
      </c>
      <c r="Z162" s="174"/>
      <c r="AA162" s="148"/>
    </row>
    <row r="163" spans="2:27" ht="14.25" customHeight="1" x14ac:dyDescent="0.25">
      <c r="B163" s="173" t="s">
        <v>213</v>
      </c>
      <c r="C163" s="131" t="s">
        <v>220</v>
      </c>
      <c r="D163" s="131">
        <v>1</v>
      </c>
      <c r="E163" s="132"/>
      <c r="F163" s="147"/>
      <c r="G163" s="147"/>
      <c r="H163" s="147"/>
      <c r="I163" s="147"/>
      <c r="J163" s="147"/>
      <c r="K163" s="151"/>
      <c r="L163" s="134">
        <v>63391</v>
      </c>
      <c r="M163" s="135"/>
      <c r="N163" s="132">
        <v>60000</v>
      </c>
      <c r="O163" s="136">
        <f>+M163+N163</f>
        <v>60000</v>
      </c>
      <c r="P163" s="137"/>
      <c r="Q163" s="132">
        <v>60000</v>
      </c>
      <c r="R163" s="138">
        <f>P163+Q163</f>
        <v>60000</v>
      </c>
      <c r="S163" s="190"/>
      <c r="T163" s="135"/>
      <c r="U163" s="132">
        <v>60000</v>
      </c>
      <c r="V163" s="136">
        <f>+T163+U163</f>
        <v>60000</v>
      </c>
      <c r="W163" s="137"/>
      <c r="X163" s="132">
        <v>60000</v>
      </c>
      <c r="Y163" s="138">
        <f t="shared" si="5"/>
        <v>60000</v>
      </c>
      <c r="Z163" s="174"/>
      <c r="AA163" s="148"/>
    </row>
    <row r="164" spans="2:27" s="266" customFormat="1" ht="71.25" customHeight="1" x14ac:dyDescent="0.25">
      <c r="B164" s="169" t="s">
        <v>213</v>
      </c>
      <c r="C164" s="121" t="s">
        <v>214</v>
      </c>
      <c r="D164" s="121">
        <v>45</v>
      </c>
      <c r="E164" s="122">
        <v>0</v>
      </c>
      <c r="F164" s="122">
        <f>SUM(F165:F171)</f>
        <v>45346047</v>
      </c>
      <c r="G164" s="122">
        <f>SUM(G166:I171)</f>
        <v>0</v>
      </c>
      <c r="H164" s="122" t="e">
        <f>+#REF!+H185+H188+H234+H245</f>
        <v>#REF!</v>
      </c>
      <c r="I164" s="122">
        <v>0</v>
      </c>
      <c r="J164" s="122">
        <v>20000000</v>
      </c>
      <c r="K164" s="122">
        <f>E164+F164-G164-I164+J164</f>
        <v>65346047</v>
      </c>
      <c r="L164" s="123"/>
      <c r="M164" s="125">
        <f>SUM(M165:M171)</f>
        <v>28246108</v>
      </c>
      <c r="N164" s="122">
        <f>SUM(N165:N171)</f>
        <v>10456000</v>
      </c>
      <c r="O164" s="126">
        <f>+N164+M164</f>
        <v>38702108</v>
      </c>
      <c r="P164" s="144">
        <f>SUM(P165:P171)</f>
        <v>26270108</v>
      </c>
      <c r="Q164" s="122">
        <f>SUM(Q165:Q171)</f>
        <v>12432000</v>
      </c>
      <c r="R164" s="127">
        <f>+Q164+P164</f>
        <v>38702108</v>
      </c>
      <c r="S164" s="145">
        <f>+K164-R164</f>
        <v>26643939</v>
      </c>
      <c r="T164" s="125">
        <f>SUM(T165:T171)</f>
        <v>26270108</v>
      </c>
      <c r="U164" s="122">
        <f>SUM(U165:U171)</f>
        <v>12432000</v>
      </c>
      <c r="V164" s="126">
        <f>T164+U164</f>
        <v>38702108</v>
      </c>
      <c r="W164" s="144">
        <f>SUM(W165:W171)</f>
        <v>26270108</v>
      </c>
      <c r="X164" s="122">
        <f>SUM(X165:X171)</f>
        <v>12432000</v>
      </c>
      <c r="Y164" s="127">
        <f t="shared" ref="Y164:Y172" si="24">W164+X164</f>
        <v>38702108</v>
      </c>
      <c r="Z164" s="171">
        <f>SUM(Z165:Z171)</f>
        <v>0</v>
      </c>
      <c r="AA164" s="172">
        <f>+V164-Y164</f>
        <v>0</v>
      </c>
    </row>
    <row r="165" spans="2:27" ht="14.25" customHeight="1" x14ac:dyDescent="0.25">
      <c r="B165" s="173" t="s">
        <v>213</v>
      </c>
      <c r="C165" s="131" t="s">
        <v>221</v>
      </c>
      <c r="D165" s="131">
        <v>45</v>
      </c>
      <c r="E165" s="132"/>
      <c r="F165" s="132">
        <v>15550000</v>
      </c>
      <c r="G165" s="147"/>
      <c r="H165" s="147"/>
      <c r="I165" s="147"/>
      <c r="J165" s="147"/>
      <c r="K165" s="151"/>
      <c r="L165" s="134"/>
      <c r="M165" s="135"/>
      <c r="N165" s="132"/>
      <c r="O165" s="136"/>
      <c r="P165" s="137"/>
      <c r="Q165" s="132"/>
      <c r="R165" s="138"/>
      <c r="S165" s="190"/>
      <c r="T165" s="135"/>
      <c r="U165" s="132"/>
      <c r="V165" s="136"/>
      <c r="W165" s="137"/>
      <c r="X165" s="132"/>
      <c r="Y165" s="138"/>
      <c r="Z165" s="174"/>
      <c r="AA165" s="148"/>
    </row>
    <row r="166" spans="2:27" ht="14.25" customHeight="1" x14ac:dyDescent="0.25">
      <c r="B166" s="173" t="s">
        <v>213</v>
      </c>
      <c r="C166" s="175" t="s">
        <v>97</v>
      </c>
      <c r="D166" s="131">
        <v>45</v>
      </c>
      <c r="E166" s="132"/>
      <c r="F166" s="132">
        <f>12000000+17796047</f>
        <v>29796047</v>
      </c>
      <c r="G166" s="147"/>
      <c r="H166" s="147"/>
      <c r="I166" s="147"/>
      <c r="J166" s="147"/>
      <c r="K166" s="132"/>
      <c r="L166" s="134"/>
      <c r="M166" s="135"/>
      <c r="N166" s="132"/>
      <c r="O166" s="136"/>
      <c r="P166" s="137"/>
      <c r="Q166" s="132"/>
      <c r="R166" s="138"/>
      <c r="S166" s="190"/>
      <c r="T166" s="135"/>
      <c r="U166" s="132"/>
      <c r="V166" s="136"/>
      <c r="W166" s="137"/>
      <c r="X166" s="132"/>
      <c r="Y166" s="138"/>
      <c r="Z166" s="174"/>
      <c r="AA166" s="148"/>
    </row>
    <row r="167" spans="2:27" ht="14.25" customHeight="1" x14ac:dyDescent="0.25">
      <c r="B167" s="173" t="s">
        <v>213</v>
      </c>
      <c r="C167" s="131" t="s">
        <v>220</v>
      </c>
      <c r="D167" s="131">
        <v>45</v>
      </c>
      <c r="E167" s="132"/>
      <c r="F167" s="132"/>
      <c r="G167" s="147"/>
      <c r="H167" s="147"/>
      <c r="I167" s="147"/>
      <c r="J167" s="147"/>
      <c r="K167" s="132"/>
      <c r="L167" s="134">
        <v>63391</v>
      </c>
      <c r="M167" s="135"/>
      <c r="N167" s="132">
        <f>12492000-60000</f>
        <v>12432000</v>
      </c>
      <c r="O167" s="136">
        <f>M167+N167</f>
        <v>12432000</v>
      </c>
      <c r="P167" s="137"/>
      <c r="Q167" s="132">
        <f>12492000-60000</f>
        <v>12432000</v>
      </c>
      <c r="R167" s="138"/>
      <c r="S167" s="190"/>
      <c r="T167" s="135"/>
      <c r="U167" s="132">
        <v>12432000</v>
      </c>
      <c r="V167" s="136">
        <f>T167+U167</f>
        <v>12432000</v>
      </c>
      <c r="W167" s="137"/>
      <c r="X167" s="132">
        <v>12432000</v>
      </c>
      <c r="Y167" s="138">
        <f>W167+X167</f>
        <v>12432000</v>
      </c>
      <c r="Z167" s="174"/>
      <c r="AA167" s="148"/>
    </row>
    <row r="168" spans="2:27" ht="14.25" customHeight="1" x14ac:dyDescent="0.25">
      <c r="B168" s="173" t="s">
        <v>213</v>
      </c>
      <c r="C168" s="131" t="s">
        <v>222</v>
      </c>
      <c r="D168" s="131">
        <v>45</v>
      </c>
      <c r="E168" s="132"/>
      <c r="F168" s="147"/>
      <c r="G168" s="147"/>
      <c r="H168" s="147"/>
      <c r="I168" s="147"/>
      <c r="J168" s="147"/>
      <c r="K168" s="132"/>
      <c r="L168" s="134" t="s">
        <v>219</v>
      </c>
      <c r="M168" s="135">
        <v>6255598</v>
      </c>
      <c r="N168" s="132">
        <v>-1976000</v>
      </c>
      <c r="O168" s="136">
        <f>M168+N168</f>
        <v>4279598</v>
      </c>
      <c r="P168" s="137">
        <v>4279598</v>
      </c>
      <c r="Q168" s="132"/>
      <c r="R168" s="138">
        <f>P168+Q168</f>
        <v>4279598</v>
      </c>
      <c r="S168" s="190"/>
      <c r="T168" s="135">
        <v>4279598</v>
      </c>
      <c r="U168" s="132"/>
      <c r="V168" s="136">
        <f>T168+U168</f>
        <v>4279598</v>
      </c>
      <c r="W168" s="137">
        <v>4279598</v>
      </c>
      <c r="X168" s="132"/>
      <c r="Y168" s="138">
        <f>W168+X168</f>
        <v>4279598</v>
      </c>
      <c r="Z168" s="174"/>
      <c r="AA168" s="148"/>
    </row>
    <row r="169" spans="2:27" ht="14.25" customHeight="1" x14ac:dyDescent="0.25">
      <c r="B169" s="173" t="s">
        <v>213</v>
      </c>
      <c r="C169" s="131" t="s">
        <v>216</v>
      </c>
      <c r="D169" s="131">
        <v>45</v>
      </c>
      <c r="E169" s="132"/>
      <c r="F169" s="147"/>
      <c r="G169" s="147"/>
      <c r="H169" s="147"/>
      <c r="I169" s="147"/>
      <c r="J169" s="147"/>
      <c r="K169" s="132"/>
      <c r="L169" s="134">
        <v>64241</v>
      </c>
      <c r="M169" s="135">
        <v>10400480</v>
      </c>
      <c r="N169" s="132"/>
      <c r="O169" s="136">
        <f>M169+N169</f>
        <v>10400480</v>
      </c>
      <c r="P169" s="137">
        <v>10400480</v>
      </c>
      <c r="Q169" s="132"/>
      <c r="R169" s="138">
        <f>P169+Q169</f>
        <v>10400480</v>
      </c>
      <c r="S169" s="190"/>
      <c r="T169" s="135">
        <v>10400480</v>
      </c>
      <c r="U169" s="132"/>
      <c r="V169" s="136">
        <f>T169+U169</f>
        <v>10400480</v>
      </c>
      <c r="W169" s="137">
        <v>10400480</v>
      </c>
      <c r="X169" s="132"/>
      <c r="Y169" s="138">
        <f t="shared" si="24"/>
        <v>10400480</v>
      </c>
      <c r="Z169" s="174"/>
      <c r="AA169" s="148"/>
    </row>
    <row r="170" spans="2:27" ht="14.25" customHeight="1" x14ac:dyDescent="0.25">
      <c r="B170" s="173" t="s">
        <v>213</v>
      </c>
      <c r="C170" s="131" t="s">
        <v>217</v>
      </c>
      <c r="D170" s="131">
        <v>45</v>
      </c>
      <c r="E170" s="132"/>
      <c r="F170" s="147"/>
      <c r="G170" s="147"/>
      <c r="H170" s="147"/>
      <c r="I170" s="147"/>
      <c r="J170" s="147"/>
      <c r="K170" s="132"/>
      <c r="L170" s="134">
        <v>64220</v>
      </c>
      <c r="M170" s="135">
        <v>11499230</v>
      </c>
      <c r="N170" s="132"/>
      <c r="O170" s="136">
        <f>M170+N170</f>
        <v>11499230</v>
      </c>
      <c r="P170" s="137">
        <v>11499230</v>
      </c>
      <c r="Q170" s="132"/>
      <c r="R170" s="138">
        <f>P170+Q170</f>
        <v>11499230</v>
      </c>
      <c r="S170" s="190"/>
      <c r="T170" s="135">
        <v>11499230</v>
      </c>
      <c r="U170" s="132"/>
      <c r="V170" s="136">
        <f>T170+U170</f>
        <v>11499230</v>
      </c>
      <c r="W170" s="137">
        <v>11499230</v>
      </c>
      <c r="X170" s="132"/>
      <c r="Y170" s="138">
        <f t="shared" si="24"/>
        <v>11499230</v>
      </c>
      <c r="Z170" s="174"/>
      <c r="AA170" s="148"/>
    </row>
    <row r="171" spans="2:27" ht="14.25" customHeight="1" x14ac:dyDescent="0.25">
      <c r="B171" s="173" t="s">
        <v>213</v>
      </c>
      <c r="C171" s="131" t="s">
        <v>215</v>
      </c>
      <c r="D171" s="131">
        <v>45</v>
      </c>
      <c r="E171" s="132"/>
      <c r="F171" s="147"/>
      <c r="G171" s="147"/>
      <c r="H171" s="147"/>
      <c r="I171" s="147"/>
      <c r="J171" s="147"/>
      <c r="K171" s="151"/>
      <c r="L171" s="134">
        <v>68021</v>
      </c>
      <c r="M171" s="135">
        <v>90800</v>
      </c>
      <c r="N171" s="132"/>
      <c r="O171" s="136">
        <f>M171+N171</f>
        <v>90800</v>
      </c>
      <c r="P171" s="137">
        <v>90800</v>
      </c>
      <c r="Q171" s="132"/>
      <c r="R171" s="138">
        <f>P171+Q171</f>
        <v>90800</v>
      </c>
      <c r="S171" s="190"/>
      <c r="T171" s="135">
        <v>90800</v>
      </c>
      <c r="U171" s="132"/>
      <c r="V171" s="136">
        <f>T171+U171</f>
        <v>90800</v>
      </c>
      <c r="W171" s="137">
        <v>90800</v>
      </c>
      <c r="X171" s="132"/>
      <c r="Y171" s="138">
        <f t="shared" si="24"/>
        <v>90800</v>
      </c>
      <c r="Z171" s="174"/>
      <c r="AA171" s="148"/>
    </row>
    <row r="172" spans="2:27" s="96" customFormat="1" ht="43.5" customHeight="1" x14ac:dyDescent="0.25">
      <c r="B172" s="169" t="s">
        <v>223</v>
      </c>
      <c r="C172" s="121" t="s">
        <v>224</v>
      </c>
      <c r="D172" s="121">
        <v>1</v>
      </c>
      <c r="E172" s="122">
        <v>18500000</v>
      </c>
      <c r="F172" s="122">
        <f>SUM(F174:F179)</f>
        <v>9628797</v>
      </c>
      <c r="G172" s="122">
        <f>SUM(G174:G178)</f>
        <v>3434613</v>
      </c>
      <c r="H172" s="122">
        <f>+H174+H182+H198+H234+H244</f>
        <v>0</v>
      </c>
      <c r="I172" s="122">
        <v>0</v>
      </c>
      <c r="J172" s="122">
        <f>SUM(J173:J179)</f>
        <v>3000000</v>
      </c>
      <c r="K172" s="122">
        <f>E172+F172-G172-I172+J172</f>
        <v>27694184</v>
      </c>
      <c r="L172" s="123"/>
      <c r="M172" s="125">
        <f>SUM(M174:M179)</f>
        <v>4460655</v>
      </c>
      <c r="N172" s="122">
        <f>SUM(N174:N179)</f>
        <v>23233529</v>
      </c>
      <c r="O172" s="126">
        <f>+N172+M172</f>
        <v>27694184</v>
      </c>
      <c r="P172" s="144">
        <f>SUM(P174:P179)</f>
        <v>4460655</v>
      </c>
      <c r="Q172" s="122">
        <f>SUM(Q174:Q179)</f>
        <v>23233529</v>
      </c>
      <c r="R172" s="127">
        <f t="shared" ref="R172:R219" si="25">+Q172+P172</f>
        <v>27694184</v>
      </c>
      <c r="S172" s="145">
        <f>+K172-R172</f>
        <v>0</v>
      </c>
      <c r="T172" s="125">
        <f>SUM(T174:T179)</f>
        <v>4460655</v>
      </c>
      <c r="U172" s="122">
        <f>SUM(U174:U179)</f>
        <v>23233529</v>
      </c>
      <c r="V172" s="126">
        <f>+T172+U172</f>
        <v>27694184</v>
      </c>
      <c r="W172" s="144">
        <f>SUM(W174:W179)</f>
        <v>4460655</v>
      </c>
      <c r="X172" s="122">
        <f>SUM(X174:X179)</f>
        <v>23233529</v>
      </c>
      <c r="Y172" s="127">
        <f t="shared" si="24"/>
        <v>27694184</v>
      </c>
      <c r="Z172" s="171">
        <f>SUM(Z173:Z179)</f>
        <v>0</v>
      </c>
      <c r="AA172" s="172">
        <f>+V172-Y172</f>
        <v>0</v>
      </c>
    </row>
    <row r="173" spans="2:27" s="45" customFormat="1" ht="17.25" customHeight="1" x14ac:dyDescent="0.25">
      <c r="B173" s="173" t="s">
        <v>223</v>
      </c>
      <c r="C173" s="196" t="s">
        <v>225</v>
      </c>
      <c r="D173" s="196">
        <v>1</v>
      </c>
      <c r="E173" s="176"/>
      <c r="F173" s="176"/>
      <c r="G173" s="176"/>
      <c r="H173" s="176"/>
      <c r="I173" s="176"/>
      <c r="J173" s="176">
        <v>3000000</v>
      </c>
      <c r="K173" s="176"/>
      <c r="L173" s="267"/>
      <c r="M173" s="268"/>
      <c r="N173" s="176"/>
      <c r="O173" s="269"/>
      <c r="P173" s="270"/>
      <c r="Q173" s="176"/>
      <c r="R173" s="271"/>
      <c r="S173" s="272"/>
      <c r="T173" s="268"/>
      <c r="U173" s="176"/>
      <c r="V173" s="269"/>
      <c r="W173" s="270"/>
      <c r="X173" s="176"/>
      <c r="Y173" s="271"/>
      <c r="Z173" s="273"/>
      <c r="AA173" s="274"/>
    </row>
    <row r="174" spans="2:27" ht="14.25" customHeight="1" x14ac:dyDescent="0.25">
      <c r="B174" s="173" t="s">
        <v>223</v>
      </c>
      <c r="C174" s="131" t="s">
        <v>116</v>
      </c>
      <c r="D174" s="131">
        <v>1</v>
      </c>
      <c r="E174" s="132"/>
      <c r="F174" s="132">
        <v>4956325</v>
      </c>
      <c r="G174" s="132"/>
      <c r="H174" s="132"/>
      <c r="I174" s="132"/>
      <c r="J174" s="132"/>
      <c r="K174" s="151"/>
      <c r="L174" s="134"/>
      <c r="M174" s="135"/>
      <c r="N174" s="132"/>
      <c r="O174" s="136"/>
      <c r="P174" s="137"/>
      <c r="Q174" s="132"/>
      <c r="R174" s="138"/>
      <c r="S174" s="139"/>
      <c r="T174" s="135"/>
      <c r="U174" s="132"/>
      <c r="V174" s="136"/>
      <c r="W174" s="137"/>
      <c r="X174" s="132"/>
      <c r="Y174" s="138"/>
      <c r="Z174" s="201"/>
      <c r="AA174" s="202"/>
    </row>
    <row r="175" spans="2:27" ht="15.75" customHeight="1" x14ac:dyDescent="0.25">
      <c r="B175" s="173" t="s">
        <v>223</v>
      </c>
      <c r="C175" s="131" t="s">
        <v>226</v>
      </c>
      <c r="D175" s="131"/>
      <c r="E175" s="132"/>
      <c r="F175" s="132">
        <v>4672472</v>
      </c>
      <c r="G175" s="132"/>
      <c r="H175" s="132"/>
      <c r="I175" s="132"/>
      <c r="J175" s="132"/>
      <c r="K175" s="151"/>
      <c r="L175" s="134"/>
      <c r="M175" s="135"/>
      <c r="N175" s="132"/>
      <c r="O175" s="136"/>
      <c r="P175" s="137"/>
      <c r="Q175" s="132"/>
      <c r="R175" s="138"/>
      <c r="S175" s="139"/>
      <c r="T175" s="135"/>
      <c r="U175" s="132"/>
      <c r="V175" s="136"/>
      <c r="W175" s="137"/>
      <c r="X175" s="132"/>
      <c r="Y175" s="138"/>
      <c r="Z175" s="201"/>
      <c r="AA175" s="202"/>
    </row>
    <row r="176" spans="2:27" ht="15.75" customHeight="1" x14ac:dyDescent="0.25">
      <c r="B176" s="173" t="s">
        <v>223</v>
      </c>
      <c r="C176" s="175" t="s">
        <v>97</v>
      </c>
      <c r="D176" s="131"/>
      <c r="E176" s="132"/>
      <c r="F176" s="132"/>
      <c r="G176" s="132">
        <v>3434613</v>
      </c>
      <c r="H176" s="132"/>
      <c r="I176" s="132"/>
      <c r="J176" s="132"/>
      <c r="K176" s="151"/>
      <c r="L176" s="134"/>
      <c r="M176" s="135"/>
      <c r="N176" s="132"/>
      <c r="O176" s="136"/>
      <c r="P176" s="137"/>
      <c r="Q176" s="132"/>
      <c r="R176" s="138"/>
      <c r="S176" s="139"/>
      <c r="T176" s="135"/>
      <c r="U176" s="132"/>
      <c r="V176" s="136"/>
      <c r="W176" s="137"/>
      <c r="X176" s="132"/>
      <c r="Y176" s="138"/>
      <c r="Z176" s="201"/>
      <c r="AA176" s="202"/>
    </row>
    <row r="177" spans="2:27" ht="16.5" customHeight="1" x14ac:dyDescent="0.25">
      <c r="B177" s="173" t="s">
        <v>223</v>
      </c>
      <c r="C177" s="131" t="s">
        <v>227</v>
      </c>
      <c r="D177" s="131">
        <v>1</v>
      </c>
      <c r="E177" s="132"/>
      <c r="F177" s="132"/>
      <c r="G177" s="132"/>
      <c r="H177" s="132"/>
      <c r="I177" s="132"/>
      <c r="J177" s="132"/>
      <c r="K177" s="151"/>
      <c r="L177" s="134">
        <v>71347</v>
      </c>
      <c r="M177" s="135"/>
      <c r="N177" s="132">
        <v>23233529</v>
      </c>
      <c r="O177" s="136">
        <f>+N177+M177</f>
        <v>23233529</v>
      </c>
      <c r="P177" s="137"/>
      <c r="Q177" s="132">
        <v>23233529</v>
      </c>
      <c r="R177" s="138">
        <f>+Q177+P177</f>
        <v>23233529</v>
      </c>
      <c r="S177" s="139"/>
      <c r="T177" s="135"/>
      <c r="U177" s="132">
        <v>23233529</v>
      </c>
      <c r="V177" s="136"/>
      <c r="W177" s="137"/>
      <c r="X177" s="132">
        <v>23233529</v>
      </c>
      <c r="Y177" s="138"/>
      <c r="Z177" s="201"/>
      <c r="AA177" s="202"/>
    </row>
    <row r="178" spans="2:27" x14ac:dyDescent="0.25">
      <c r="B178" s="173" t="s">
        <v>223</v>
      </c>
      <c r="C178" s="131" t="s">
        <v>228</v>
      </c>
      <c r="D178" s="131">
        <v>1</v>
      </c>
      <c r="E178" s="132"/>
      <c r="F178" s="147">
        <v>0</v>
      </c>
      <c r="G178" s="147">
        <v>0</v>
      </c>
      <c r="H178" s="147">
        <f>+H180+H186+H200+H238+H247</f>
        <v>0</v>
      </c>
      <c r="I178" s="147">
        <v>0</v>
      </c>
      <c r="J178" s="147">
        <v>0</v>
      </c>
      <c r="K178" s="151"/>
      <c r="L178" s="134">
        <v>71359</v>
      </c>
      <c r="M178" s="135">
        <v>4420655</v>
      </c>
      <c r="N178" s="132">
        <v>0</v>
      </c>
      <c r="O178" s="136">
        <f>+N178+M178</f>
        <v>4420655</v>
      </c>
      <c r="P178" s="137">
        <f>+O178+N178</f>
        <v>4420655</v>
      </c>
      <c r="Q178" s="132">
        <v>0</v>
      </c>
      <c r="R178" s="138">
        <f>+Q178+P178</f>
        <v>4420655</v>
      </c>
      <c r="S178" s="139">
        <v>0</v>
      </c>
      <c r="T178" s="135">
        <v>4420655</v>
      </c>
      <c r="U178" s="132">
        <v>0</v>
      </c>
      <c r="V178" s="136">
        <f>+T178+U178</f>
        <v>4420655</v>
      </c>
      <c r="W178" s="137">
        <v>4420655</v>
      </c>
      <c r="X178" s="132">
        <v>0</v>
      </c>
      <c r="Y178" s="138">
        <f>+W178+X178</f>
        <v>4420655</v>
      </c>
      <c r="Z178" s="174">
        <f t="shared" ref="Z178:AA185" si="26">+U178-X178</f>
        <v>0</v>
      </c>
      <c r="AA178" s="148">
        <f t="shared" si="26"/>
        <v>0</v>
      </c>
    </row>
    <row r="179" spans="2:27" ht="14.25" customHeight="1" x14ac:dyDescent="0.25">
      <c r="B179" s="173" t="s">
        <v>223</v>
      </c>
      <c r="C179" s="131" t="s">
        <v>229</v>
      </c>
      <c r="D179" s="131">
        <v>1</v>
      </c>
      <c r="E179" s="132"/>
      <c r="F179" s="147">
        <v>0</v>
      </c>
      <c r="G179" s="147">
        <v>0</v>
      </c>
      <c r="H179" s="147">
        <f>+H180+H197+H200+H243+H247</f>
        <v>0</v>
      </c>
      <c r="I179" s="147">
        <v>0</v>
      </c>
      <c r="J179" s="147">
        <v>0</v>
      </c>
      <c r="K179" s="151"/>
      <c r="L179" s="134">
        <v>73210</v>
      </c>
      <c r="M179" s="135">
        <v>40000</v>
      </c>
      <c r="N179" s="132">
        <v>0</v>
      </c>
      <c r="O179" s="136">
        <f>+N179+M179</f>
        <v>40000</v>
      </c>
      <c r="P179" s="137">
        <f>+O179+N179</f>
        <v>40000</v>
      </c>
      <c r="Q179" s="132">
        <v>0</v>
      </c>
      <c r="R179" s="138">
        <f t="shared" si="25"/>
        <v>40000</v>
      </c>
      <c r="S179" s="190">
        <v>0</v>
      </c>
      <c r="T179" s="135">
        <v>40000</v>
      </c>
      <c r="U179" s="132">
        <v>0</v>
      </c>
      <c r="V179" s="136">
        <f>+T179+U179</f>
        <v>40000</v>
      </c>
      <c r="W179" s="137">
        <v>40000</v>
      </c>
      <c r="X179" s="132">
        <v>0</v>
      </c>
      <c r="Y179" s="138">
        <f t="shared" si="5"/>
        <v>40000</v>
      </c>
      <c r="Z179" s="174">
        <f t="shared" si="26"/>
        <v>0</v>
      </c>
      <c r="AA179" s="148">
        <f t="shared" si="26"/>
        <v>0</v>
      </c>
    </row>
    <row r="180" spans="2:27" s="96" customFormat="1" ht="34.5" customHeight="1" x14ac:dyDescent="0.25">
      <c r="B180" s="169" t="s">
        <v>230</v>
      </c>
      <c r="C180" s="121" t="s">
        <v>231</v>
      </c>
      <c r="D180" s="121">
        <v>1</v>
      </c>
      <c r="E180" s="122">
        <v>179000000</v>
      </c>
      <c r="F180" s="122">
        <f>SUM(F183)</f>
        <v>74131378</v>
      </c>
      <c r="G180" s="122">
        <f>SUM(G182:I187)</f>
        <v>9301056</v>
      </c>
      <c r="H180" s="170">
        <v>0</v>
      </c>
      <c r="I180" s="122">
        <v>0</v>
      </c>
      <c r="J180" s="122">
        <f>SUM(J181:J189)</f>
        <v>30000000</v>
      </c>
      <c r="K180" s="122">
        <f>E180+F180-G180-I180+J180</f>
        <v>273830322</v>
      </c>
      <c r="L180" s="123"/>
      <c r="M180" s="125">
        <f>SUM(M182:M213)</f>
        <v>162733704</v>
      </c>
      <c r="N180" s="125">
        <f>SUM(N182:N213)</f>
        <v>111096618</v>
      </c>
      <c r="O180" s="126">
        <f>+M180+N180</f>
        <v>273830322</v>
      </c>
      <c r="P180" s="144">
        <f>SUM(P182:P212)</f>
        <v>162733704</v>
      </c>
      <c r="Q180" s="122">
        <f>SUM(Q182:Q213)</f>
        <v>111096618</v>
      </c>
      <c r="R180" s="127">
        <f t="shared" si="25"/>
        <v>273830322</v>
      </c>
      <c r="S180" s="145">
        <f>+K180-R180</f>
        <v>0</v>
      </c>
      <c r="T180" s="125">
        <f>SUM(T182:T210)</f>
        <v>136433704</v>
      </c>
      <c r="U180" s="122">
        <f>SUM(U182:U213)</f>
        <v>90332478</v>
      </c>
      <c r="V180" s="126">
        <f>T180+U180</f>
        <v>226766182</v>
      </c>
      <c r="W180" s="144">
        <f>SUM(W182:W213)</f>
        <v>136433704</v>
      </c>
      <c r="X180" s="122">
        <f>SUM(X182:X213)</f>
        <v>84332478</v>
      </c>
      <c r="Y180" s="127">
        <f>W180+X180</f>
        <v>220766182</v>
      </c>
      <c r="Z180" s="171">
        <f>SUM(Z181:Z213)</f>
        <v>6000000</v>
      </c>
      <c r="AA180" s="172">
        <f>SUM(AA181:AA213)</f>
        <v>47064140</v>
      </c>
    </row>
    <row r="181" spans="2:27" s="45" customFormat="1" ht="16.5" customHeight="1" x14ac:dyDescent="0.25">
      <c r="B181" s="173" t="s">
        <v>230</v>
      </c>
      <c r="C181" s="196" t="s">
        <v>232</v>
      </c>
      <c r="D181" s="196">
        <v>1</v>
      </c>
      <c r="E181" s="176"/>
      <c r="F181" s="176"/>
      <c r="G181" s="176"/>
      <c r="H181" s="180"/>
      <c r="I181" s="176"/>
      <c r="J181" s="176">
        <v>30000000</v>
      </c>
      <c r="K181" s="176"/>
      <c r="L181" s="267"/>
      <c r="M181" s="268"/>
      <c r="N181" s="270"/>
      <c r="O181" s="269"/>
      <c r="P181" s="270"/>
      <c r="Q181" s="176"/>
      <c r="R181" s="271"/>
      <c r="S181" s="272"/>
      <c r="T181" s="268"/>
      <c r="U181" s="176"/>
      <c r="V181" s="269"/>
      <c r="W181" s="270"/>
      <c r="X181" s="176"/>
      <c r="Y181" s="271"/>
      <c r="Z181" s="273"/>
      <c r="AA181" s="274"/>
    </row>
    <row r="182" spans="2:27" ht="16.5" customHeight="1" x14ac:dyDescent="0.25">
      <c r="B182" s="173" t="s">
        <v>230</v>
      </c>
      <c r="C182" s="131" t="s">
        <v>221</v>
      </c>
      <c r="D182" s="131">
        <v>1</v>
      </c>
      <c r="E182" s="132"/>
      <c r="F182" s="147">
        <v>0</v>
      </c>
      <c r="G182" s="132">
        <f>9301056</f>
        <v>9301056</v>
      </c>
      <c r="H182" s="133">
        <v>0</v>
      </c>
      <c r="I182" s="147">
        <v>0</v>
      </c>
      <c r="J182" s="147">
        <v>0</v>
      </c>
      <c r="K182" s="132"/>
      <c r="L182" s="134"/>
      <c r="M182" s="135"/>
      <c r="N182" s="132"/>
      <c r="O182" s="136">
        <f t="shared" ref="O182:O219" si="27">+M182+N182</f>
        <v>0</v>
      </c>
      <c r="P182" s="137"/>
      <c r="Q182" s="132"/>
      <c r="R182" s="138"/>
      <c r="S182" s="190">
        <v>0</v>
      </c>
      <c r="T182" s="135"/>
      <c r="U182" s="132"/>
      <c r="V182" s="136"/>
      <c r="W182" s="137"/>
      <c r="X182" s="132"/>
      <c r="Y182" s="138"/>
      <c r="Z182" s="174">
        <f t="shared" si="26"/>
        <v>0</v>
      </c>
      <c r="AA182" s="148">
        <f t="shared" si="26"/>
        <v>0</v>
      </c>
    </row>
    <row r="183" spans="2:27" ht="16.5" customHeight="1" x14ac:dyDescent="0.25">
      <c r="B183" s="173" t="s">
        <v>230</v>
      </c>
      <c r="C183" s="175" t="s">
        <v>97</v>
      </c>
      <c r="D183" s="131"/>
      <c r="E183" s="132"/>
      <c r="F183" s="132">
        <v>74131378</v>
      </c>
      <c r="G183" s="132"/>
      <c r="H183" s="133"/>
      <c r="I183" s="147"/>
      <c r="J183" s="147"/>
      <c r="K183" s="132"/>
      <c r="L183" s="134"/>
      <c r="M183" s="135"/>
      <c r="N183" s="132"/>
      <c r="O183" s="136"/>
      <c r="P183" s="137"/>
      <c r="Q183" s="132"/>
      <c r="R183" s="138"/>
      <c r="S183" s="190"/>
      <c r="T183" s="135"/>
      <c r="U183" s="132"/>
      <c r="V183" s="136"/>
      <c r="W183" s="137"/>
      <c r="X183" s="132"/>
      <c r="Y183" s="138"/>
      <c r="Z183" s="174"/>
      <c r="AA183" s="148"/>
    </row>
    <row r="184" spans="2:27" ht="16.5" customHeight="1" x14ac:dyDescent="0.25">
      <c r="B184" s="173" t="s">
        <v>230</v>
      </c>
      <c r="C184" s="131" t="s">
        <v>233</v>
      </c>
      <c r="D184" s="131">
        <v>1</v>
      </c>
      <c r="E184" s="132"/>
      <c r="F184" s="147">
        <v>0</v>
      </c>
      <c r="G184" s="147">
        <v>0</v>
      </c>
      <c r="H184" s="133">
        <v>0</v>
      </c>
      <c r="I184" s="147">
        <v>0</v>
      </c>
      <c r="J184" s="147">
        <v>0</v>
      </c>
      <c r="K184" s="132"/>
      <c r="L184" s="134">
        <v>84120</v>
      </c>
      <c r="M184" s="135">
        <v>1361743</v>
      </c>
      <c r="N184" s="132">
        <v>202084</v>
      </c>
      <c r="O184" s="136">
        <f>+M184+N184</f>
        <v>1563827</v>
      </c>
      <c r="P184" s="137">
        <v>1361743</v>
      </c>
      <c r="Q184" s="132">
        <v>202084</v>
      </c>
      <c r="R184" s="138">
        <f>+Q184+P184</f>
        <v>1563827</v>
      </c>
      <c r="S184" s="190">
        <v>0</v>
      </c>
      <c r="T184" s="135">
        <v>1361743</v>
      </c>
      <c r="U184" s="132">
        <v>202084</v>
      </c>
      <c r="V184" s="136">
        <f>+T184+U184</f>
        <v>1563827</v>
      </c>
      <c r="W184" s="137">
        <v>1361743</v>
      </c>
      <c r="X184" s="132">
        <v>202084</v>
      </c>
      <c r="Y184" s="138">
        <f>+W184+X184</f>
        <v>1563827</v>
      </c>
      <c r="Z184" s="174">
        <f t="shared" si="26"/>
        <v>0</v>
      </c>
      <c r="AA184" s="148">
        <f t="shared" si="26"/>
        <v>0</v>
      </c>
    </row>
    <row r="185" spans="2:27" ht="15" customHeight="1" x14ac:dyDescent="0.25">
      <c r="B185" s="173" t="s">
        <v>230</v>
      </c>
      <c r="C185" s="131" t="s">
        <v>234</v>
      </c>
      <c r="D185" s="131">
        <v>1</v>
      </c>
      <c r="E185" s="132"/>
      <c r="F185" s="147">
        <v>0</v>
      </c>
      <c r="G185" s="147">
        <v>0</v>
      </c>
      <c r="H185" s="133">
        <v>0</v>
      </c>
      <c r="I185" s="147">
        <v>0</v>
      </c>
      <c r="J185" s="147">
        <v>0</v>
      </c>
      <c r="K185" s="132"/>
      <c r="L185" s="134">
        <v>84222</v>
      </c>
      <c r="M185" s="135">
        <v>2037280</v>
      </c>
      <c r="N185" s="132">
        <v>203728</v>
      </c>
      <c r="O185" s="136">
        <f t="shared" si="27"/>
        <v>2241008</v>
      </c>
      <c r="P185" s="137">
        <v>2037280</v>
      </c>
      <c r="Q185" s="132">
        <v>203728</v>
      </c>
      <c r="R185" s="138">
        <f t="shared" si="25"/>
        <v>2241008</v>
      </c>
      <c r="S185" s="190">
        <v>0</v>
      </c>
      <c r="T185" s="135">
        <v>2037280</v>
      </c>
      <c r="U185" s="132">
        <v>203728</v>
      </c>
      <c r="V185" s="136">
        <f t="shared" ref="V185:V213" si="28">+T185+U185</f>
        <v>2241008</v>
      </c>
      <c r="W185" s="137">
        <v>2037280</v>
      </c>
      <c r="X185" s="132">
        <v>203728</v>
      </c>
      <c r="Y185" s="138">
        <f t="shared" si="5"/>
        <v>2241008</v>
      </c>
      <c r="Z185" s="174">
        <f t="shared" si="26"/>
        <v>0</v>
      </c>
      <c r="AA185" s="148">
        <f t="shared" si="26"/>
        <v>0</v>
      </c>
    </row>
    <row r="186" spans="2:27" ht="15" customHeight="1" x14ac:dyDescent="0.25">
      <c r="B186" s="173" t="s">
        <v>230</v>
      </c>
      <c r="C186" s="131" t="s">
        <v>235</v>
      </c>
      <c r="D186" s="131">
        <v>1</v>
      </c>
      <c r="E186" s="132"/>
      <c r="F186" s="147">
        <v>0</v>
      </c>
      <c r="G186" s="147">
        <v>0</v>
      </c>
      <c r="H186" s="133">
        <v>0</v>
      </c>
      <c r="I186" s="147">
        <v>0</v>
      </c>
      <c r="J186" s="147">
        <v>0</v>
      </c>
      <c r="K186" s="132"/>
      <c r="L186" s="134">
        <v>84290</v>
      </c>
      <c r="M186" s="135">
        <v>15000</v>
      </c>
      <c r="N186" s="132"/>
      <c r="O186" s="136">
        <f t="shared" si="27"/>
        <v>15000</v>
      </c>
      <c r="P186" s="137">
        <v>15000</v>
      </c>
      <c r="Q186" s="132"/>
      <c r="R186" s="138">
        <f t="shared" si="25"/>
        <v>15000</v>
      </c>
      <c r="S186" s="190"/>
      <c r="T186" s="135">
        <v>15000</v>
      </c>
      <c r="U186" s="132"/>
      <c r="V186" s="136">
        <f t="shared" si="28"/>
        <v>15000</v>
      </c>
      <c r="W186" s="137">
        <v>15000</v>
      </c>
      <c r="X186" s="132"/>
      <c r="Y186" s="138">
        <f t="shared" si="5"/>
        <v>15000</v>
      </c>
      <c r="Z186" s="174"/>
      <c r="AA186" s="148"/>
    </row>
    <row r="187" spans="2:27" ht="18" customHeight="1" x14ac:dyDescent="0.25">
      <c r="B187" s="173" t="s">
        <v>230</v>
      </c>
      <c r="C187" s="131" t="s">
        <v>236</v>
      </c>
      <c r="D187" s="131">
        <v>1</v>
      </c>
      <c r="E187" s="132"/>
      <c r="F187" s="147">
        <v>0</v>
      </c>
      <c r="G187" s="147">
        <v>0</v>
      </c>
      <c r="H187" s="133">
        <v>0</v>
      </c>
      <c r="I187" s="147">
        <v>0</v>
      </c>
      <c r="J187" s="147">
        <v>0</v>
      </c>
      <c r="K187" s="132"/>
      <c r="L187" s="134">
        <v>82199</v>
      </c>
      <c r="M187" s="135">
        <v>49500000</v>
      </c>
      <c r="N187" s="132"/>
      <c r="O187" s="136">
        <f t="shared" si="27"/>
        <v>49500000</v>
      </c>
      <c r="P187" s="137">
        <v>49500000</v>
      </c>
      <c r="Q187" s="132"/>
      <c r="R187" s="138">
        <f t="shared" si="25"/>
        <v>49500000</v>
      </c>
      <c r="S187" s="190">
        <v>0</v>
      </c>
      <c r="T187" s="135">
        <v>40500000</v>
      </c>
      <c r="U187" s="132">
        <v>9000000</v>
      </c>
      <c r="V187" s="136">
        <f t="shared" si="28"/>
        <v>49500000</v>
      </c>
      <c r="W187" s="137">
        <v>40500000</v>
      </c>
      <c r="X187" s="132">
        <v>9000000</v>
      </c>
      <c r="Y187" s="138">
        <f t="shared" si="5"/>
        <v>49500000</v>
      </c>
      <c r="Z187" s="174">
        <f t="shared" ref="Z187:AA190" si="29">+U187-X187</f>
        <v>0</v>
      </c>
      <c r="AA187" s="148">
        <f t="shared" si="29"/>
        <v>0</v>
      </c>
    </row>
    <row r="188" spans="2:27" ht="25.5" customHeight="1" x14ac:dyDescent="0.25">
      <c r="B188" s="173" t="s">
        <v>230</v>
      </c>
      <c r="C188" s="131" t="s">
        <v>237</v>
      </c>
      <c r="D188" s="131">
        <v>1</v>
      </c>
      <c r="E188" s="132"/>
      <c r="F188" s="147">
        <v>0</v>
      </c>
      <c r="G188" s="147">
        <v>0</v>
      </c>
      <c r="H188" s="133">
        <v>0</v>
      </c>
      <c r="I188" s="147">
        <v>0</v>
      </c>
      <c r="J188" s="147">
        <v>0</v>
      </c>
      <c r="K188" s="132"/>
      <c r="L188" s="134">
        <v>83112</v>
      </c>
      <c r="M188" s="135">
        <v>18000000</v>
      </c>
      <c r="N188" s="132"/>
      <c r="O188" s="136">
        <f t="shared" si="27"/>
        <v>18000000</v>
      </c>
      <c r="P188" s="137">
        <v>18000000</v>
      </c>
      <c r="Q188" s="132"/>
      <c r="R188" s="138">
        <f t="shared" si="25"/>
        <v>18000000</v>
      </c>
      <c r="S188" s="190">
        <v>0</v>
      </c>
      <c r="T188" s="135">
        <v>18000000</v>
      </c>
      <c r="U188" s="132"/>
      <c r="V188" s="136">
        <f t="shared" si="28"/>
        <v>18000000</v>
      </c>
      <c r="W188" s="137">
        <v>18000000</v>
      </c>
      <c r="X188" s="132"/>
      <c r="Y188" s="138">
        <f t="shared" si="5"/>
        <v>18000000</v>
      </c>
      <c r="Z188" s="174">
        <f t="shared" si="29"/>
        <v>0</v>
      </c>
      <c r="AA188" s="148">
        <f t="shared" si="29"/>
        <v>0</v>
      </c>
    </row>
    <row r="189" spans="2:27" ht="19.5" customHeight="1" x14ac:dyDescent="0.25">
      <c r="B189" s="173" t="s">
        <v>230</v>
      </c>
      <c r="C189" s="131" t="s">
        <v>238</v>
      </c>
      <c r="D189" s="131">
        <v>1</v>
      </c>
      <c r="E189" s="132"/>
      <c r="F189" s="147">
        <v>0</v>
      </c>
      <c r="G189" s="147">
        <v>0</v>
      </c>
      <c r="H189" s="133">
        <v>0</v>
      </c>
      <c r="I189" s="147">
        <v>0</v>
      </c>
      <c r="J189" s="147">
        <v>0</v>
      </c>
      <c r="K189" s="151"/>
      <c r="L189" s="134">
        <v>8363202</v>
      </c>
      <c r="M189" s="135">
        <v>218100</v>
      </c>
      <c r="N189" s="132"/>
      <c r="O189" s="136">
        <f t="shared" si="27"/>
        <v>218100</v>
      </c>
      <c r="P189" s="137">
        <v>218100</v>
      </c>
      <c r="Q189" s="132"/>
      <c r="R189" s="138">
        <f t="shared" si="25"/>
        <v>218100</v>
      </c>
      <c r="S189" s="190">
        <v>0</v>
      </c>
      <c r="T189" s="135">
        <v>218100</v>
      </c>
      <c r="U189" s="132"/>
      <c r="V189" s="136">
        <f t="shared" si="28"/>
        <v>218100</v>
      </c>
      <c r="W189" s="137">
        <v>218100</v>
      </c>
      <c r="X189" s="132"/>
      <c r="Y189" s="138">
        <f t="shared" si="5"/>
        <v>218100</v>
      </c>
      <c r="Z189" s="174">
        <f t="shared" si="29"/>
        <v>0</v>
      </c>
      <c r="AA189" s="148">
        <f t="shared" si="29"/>
        <v>0</v>
      </c>
    </row>
    <row r="190" spans="2:27" ht="19.5" customHeight="1" x14ac:dyDescent="0.25">
      <c r="B190" s="173" t="s">
        <v>230</v>
      </c>
      <c r="C190" s="131" t="s">
        <v>239</v>
      </c>
      <c r="D190" s="131">
        <v>1</v>
      </c>
      <c r="E190" s="132"/>
      <c r="F190" s="147">
        <v>0</v>
      </c>
      <c r="G190" s="147">
        <v>0</v>
      </c>
      <c r="H190" s="133">
        <v>0</v>
      </c>
      <c r="I190" s="147">
        <v>0</v>
      </c>
      <c r="J190" s="147">
        <v>0</v>
      </c>
      <c r="K190" s="151"/>
      <c r="L190" s="134">
        <v>84341</v>
      </c>
      <c r="M190" s="135">
        <v>446000</v>
      </c>
      <c r="N190" s="132"/>
      <c r="O190" s="136">
        <f t="shared" si="27"/>
        <v>446000</v>
      </c>
      <c r="P190" s="137">
        <v>446000</v>
      </c>
      <c r="Q190" s="132"/>
      <c r="R190" s="138">
        <f t="shared" si="25"/>
        <v>446000</v>
      </c>
      <c r="S190" s="190">
        <v>0</v>
      </c>
      <c r="T190" s="135">
        <v>446000</v>
      </c>
      <c r="U190" s="132"/>
      <c r="V190" s="136">
        <f t="shared" si="28"/>
        <v>446000</v>
      </c>
      <c r="W190" s="137">
        <v>446000</v>
      </c>
      <c r="X190" s="132"/>
      <c r="Y190" s="138">
        <f t="shared" si="5"/>
        <v>446000</v>
      </c>
      <c r="Z190" s="174">
        <f t="shared" si="29"/>
        <v>0</v>
      </c>
      <c r="AA190" s="148">
        <f t="shared" si="29"/>
        <v>0</v>
      </c>
    </row>
    <row r="191" spans="2:27" ht="26.25" customHeight="1" x14ac:dyDescent="0.25">
      <c r="B191" s="178" t="s">
        <v>230</v>
      </c>
      <c r="C191" s="131" t="s">
        <v>240</v>
      </c>
      <c r="D191" s="131">
        <v>1</v>
      </c>
      <c r="E191" s="132"/>
      <c r="F191" s="147">
        <v>0</v>
      </c>
      <c r="G191" s="147">
        <v>0</v>
      </c>
      <c r="H191" s="133">
        <v>0</v>
      </c>
      <c r="I191" s="147">
        <v>0</v>
      </c>
      <c r="J191" s="147">
        <v>0</v>
      </c>
      <c r="K191" s="151"/>
      <c r="L191" s="134">
        <v>8711001</v>
      </c>
      <c r="M191" s="135">
        <v>201000</v>
      </c>
      <c r="N191" s="132"/>
      <c r="O191" s="136">
        <f t="shared" si="27"/>
        <v>201000</v>
      </c>
      <c r="P191" s="137">
        <v>201000</v>
      </c>
      <c r="Q191" s="132"/>
      <c r="R191" s="138">
        <f t="shared" si="25"/>
        <v>201000</v>
      </c>
      <c r="S191" s="190"/>
      <c r="T191" s="135">
        <v>201000</v>
      </c>
      <c r="U191" s="132"/>
      <c r="V191" s="136">
        <f t="shared" si="28"/>
        <v>201000</v>
      </c>
      <c r="W191" s="137">
        <v>201000</v>
      </c>
      <c r="X191" s="132"/>
      <c r="Y191" s="138">
        <f t="shared" si="5"/>
        <v>201000</v>
      </c>
      <c r="Z191" s="174"/>
      <c r="AA191" s="148"/>
    </row>
    <row r="192" spans="2:27" ht="19.5" customHeight="1" x14ac:dyDescent="0.25">
      <c r="B192" s="173" t="s">
        <v>230</v>
      </c>
      <c r="C192" s="131" t="s">
        <v>241</v>
      </c>
      <c r="D192" s="131">
        <v>1</v>
      </c>
      <c r="E192" s="132"/>
      <c r="F192" s="147">
        <v>0</v>
      </c>
      <c r="G192" s="147">
        <v>0</v>
      </c>
      <c r="H192" s="133">
        <v>0</v>
      </c>
      <c r="I192" s="147">
        <v>0</v>
      </c>
      <c r="J192" s="147">
        <v>0</v>
      </c>
      <c r="K192" s="151"/>
      <c r="L192" s="134">
        <v>85330</v>
      </c>
      <c r="M192" s="135">
        <v>1479480</v>
      </c>
      <c r="N192" s="132"/>
      <c r="O192" s="136">
        <f t="shared" si="27"/>
        <v>1479480</v>
      </c>
      <c r="P192" s="137">
        <v>1479480</v>
      </c>
      <c r="Q192" s="132"/>
      <c r="R192" s="138">
        <f t="shared" si="25"/>
        <v>1479480</v>
      </c>
      <c r="S192" s="190">
        <v>0</v>
      </c>
      <c r="T192" s="135">
        <v>1479480</v>
      </c>
      <c r="U192" s="132"/>
      <c r="V192" s="136">
        <f t="shared" si="28"/>
        <v>1479480</v>
      </c>
      <c r="W192" s="137">
        <v>1479480</v>
      </c>
      <c r="X192" s="132"/>
      <c r="Y192" s="138">
        <f t="shared" si="5"/>
        <v>1479480</v>
      </c>
      <c r="Z192" s="174">
        <f t="shared" ref="Z192:AA205" si="30">+U192-X192</f>
        <v>0</v>
      </c>
      <c r="AA192" s="148">
        <f t="shared" si="30"/>
        <v>0</v>
      </c>
    </row>
    <row r="193" spans="2:29" ht="19.5" customHeight="1" x14ac:dyDescent="0.25">
      <c r="B193" s="173" t="s">
        <v>230</v>
      </c>
      <c r="C193" s="131" t="s">
        <v>242</v>
      </c>
      <c r="D193" s="131">
        <v>1</v>
      </c>
      <c r="E193" s="132"/>
      <c r="F193" s="147">
        <v>0</v>
      </c>
      <c r="G193" s="147">
        <v>0</v>
      </c>
      <c r="H193" s="133">
        <v>0</v>
      </c>
      <c r="I193" s="147">
        <v>0</v>
      </c>
      <c r="J193" s="147">
        <v>0</v>
      </c>
      <c r="K193" s="151"/>
      <c r="L193" s="134">
        <v>8711002</v>
      </c>
      <c r="M193" s="135">
        <v>60000</v>
      </c>
      <c r="N193" s="132"/>
      <c r="O193" s="136">
        <f t="shared" si="27"/>
        <v>60000</v>
      </c>
      <c r="P193" s="137">
        <v>60000</v>
      </c>
      <c r="Q193" s="132"/>
      <c r="R193" s="138">
        <f t="shared" si="25"/>
        <v>60000</v>
      </c>
      <c r="S193" s="190">
        <v>0</v>
      </c>
      <c r="T193" s="135">
        <v>60000</v>
      </c>
      <c r="U193" s="132"/>
      <c r="V193" s="136">
        <f t="shared" si="28"/>
        <v>60000</v>
      </c>
      <c r="W193" s="137">
        <v>60000</v>
      </c>
      <c r="X193" s="132"/>
      <c r="Y193" s="138">
        <f t="shared" si="5"/>
        <v>60000</v>
      </c>
      <c r="Z193" s="174">
        <f t="shared" si="30"/>
        <v>0</v>
      </c>
      <c r="AA193" s="148">
        <f t="shared" si="30"/>
        <v>0</v>
      </c>
    </row>
    <row r="194" spans="2:29" ht="26.25" customHeight="1" x14ac:dyDescent="0.25">
      <c r="B194" s="173" t="s">
        <v>230</v>
      </c>
      <c r="C194" s="131" t="s">
        <v>243</v>
      </c>
      <c r="D194" s="131">
        <v>1</v>
      </c>
      <c r="E194" s="132"/>
      <c r="F194" s="147">
        <v>0</v>
      </c>
      <c r="G194" s="147">
        <v>0</v>
      </c>
      <c r="H194" s="133">
        <v>0</v>
      </c>
      <c r="I194" s="147">
        <v>0</v>
      </c>
      <c r="J194" s="147">
        <v>0</v>
      </c>
      <c r="K194" s="151"/>
      <c r="L194" s="134">
        <v>83931</v>
      </c>
      <c r="M194" s="135">
        <v>8500000</v>
      </c>
      <c r="N194" s="132"/>
      <c r="O194" s="136">
        <f t="shared" si="27"/>
        <v>8500000</v>
      </c>
      <c r="P194" s="137">
        <v>8500000</v>
      </c>
      <c r="Q194" s="132"/>
      <c r="R194" s="138">
        <f t="shared" si="25"/>
        <v>8500000</v>
      </c>
      <c r="S194" s="190">
        <v>0</v>
      </c>
      <c r="T194" s="135">
        <v>0</v>
      </c>
      <c r="U194" s="132">
        <v>8500000</v>
      </c>
      <c r="V194" s="136">
        <f t="shared" si="28"/>
        <v>8500000</v>
      </c>
      <c r="W194" s="137">
        <v>0</v>
      </c>
      <c r="X194" s="132">
        <v>8500000</v>
      </c>
      <c r="Y194" s="138">
        <f t="shared" si="5"/>
        <v>8500000</v>
      </c>
      <c r="Z194" s="174">
        <f t="shared" si="30"/>
        <v>0</v>
      </c>
      <c r="AA194" s="148">
        <f t="shared" si="30"/>
        <v>0</v>
      </c>
    </row>
    <row r="195" spans="2:29" ht="19.5" customHeight="1" x14ac:dyDescent="0.25">
      <c r="B195" s="173" t="s">
        <v>230</v>
      </c>
      <c r="C195" s="131" t="s">
        <v>244</v>
      </c>
      <c r="D195" s="131">
        <v>1</v>
      </c>
      <c r="E195" s="132"/>
      <c r="F195" s="147">
        <v>0</v>
      </c>
      <c r="G195" s="147">
        <v>0</v>
      </c>
      <c r="H195" s="133">
        <v>0</v>
      </c>
      <c r="I195" s="147">
        <v>0</v>
      </c>
      <c r="J195" s="147">
        <v>0</v>
      </c>
      <c r="K195" s="151"/>
      <c r="L195" s="134">
        <v>82221</v>
      </c>
      <c r="M195" s="135">
        <v>51000000</v>
      </c>
      <c r="N195" s="132">
        <v>3000000</v>
      </c>
      <c r="O195" s="136">
        <f t="shared" si="27"/>
        <v>54000000</v>
      </c>
      <c r="P195" s="137">
        <v>51000000</v>
      </c>
      <c r="Q195" s="132">
        <v>3000000</v>
      </c>
      <c r="R195" s="138">
        <f t="shared" si="25"/>
        <v>54000000</v>
      </c>
      <c r="S195" s="190">
        <v>0</v>
      </c>
      <c r="T195" s="135">
        <v>45000000</v>
      </c>
      <c r="U195" s="132">
        <v>9000000</v>
      </c>
      <c r="V195" s="136">
        <f t="shared" si="28"/>
        <v>54000000</v>
      </c>
      <c r="W195" s="137">
        <v>45000000</v>
      </c>
      <c r="X195" s="132">
        <v>3000000</v>
      </c>
      <c r="Y195" s="138">
        <f t="shared" si="5"/>
        <v>48000000</v>
      </c>
      <c r="Z195" s="275">
        <f>V195-Y195</f>
        <v>6000000</v>
      </c>
      <c r="AA195" s="148"/>
    </row>
    <row r="196" spans="2:29" ht="19.5" customHeight="1" x14ac:dyDescent="0.25">
      <c r="B196" s="173" t="s">
        <v>230</v>
      </c>
      <c r="C196" s="131" t="s">
        <v>245</v>
      </c>
      <c r="D196" s="131">
        <v>1</v>
      </c>
      <c r="E196" s="132"/>
      <c r="F196" s="147">
        <v>0</v>
      </c>
      <c r="G196" s="147">
        <v>0</v>
      </c>
      <c r="H196" s="133">
        <v>0</v>
      </c>
      <c r="I196" s="147">
        <v>0</v>
      </c>
      <c r="J196" s="147">
        <v>0</v>
      </c>
      <c r="K196" s="151"/>
      <c r="L196" s="134">
        <v>82221</v>
      </c>
      <c r="M196" s="135">
        <v>2500000</v>
      </c>
      <c r="N196" s="132"/>
      <c r="O196" s="136">
        <f t="shared" si="27"/>
        <v>2500000</v>
      </c>
      <c r="P196" s="137">
        <v>2500000</v>
      </c>
      <c r="Q196" s="132"/>
      <c r="R196" s="138">
        <f t="shared" si="25"/>
        <v>2500000</v>
      </c>
      <c r="S196" s="190">
        <v>0</v>
      </c>
      <c r="T196" s="135">
        <v>2500000</v>
      </c>
      <c r="U196" s="132"/>
      <c r="V196" s="136">
        <f t="shared" si="28"/>
        <v>2500000</v>
      </c>
      <c r="W196" s="137">
        <v>2500000</v>
      </c>
      <c r="X196" s="132"/>
      <c r="Y196" s="138">
        <f t="shared" si="5"/>
        <v>2500000</v>
      </c>
      <c r="Z196" s="174">
        <f t="shared" si="30"/>
        <v>0</v>
      </c>
      <c r="AA196" s="148">
        <f t="shared" si="30"/>
        <v>0</v>
      </c>
    </row>
    <row r="197" spans="2:29" ht="19.5" customHeight="1" x14ac:dyDescent="0.25">
      <c r="B197" s="173" t="s">
        <v>230</v>
      </c>
      <c r="C197" s="131" t="s">
        <v>246</v>
      </c>
      <c r="D197" s="131">
        <v>1</v>
      </c>
      <c r="E197" s="132"/>
      <c r="F197" s="147">
        <v>0</v>
      </c>
      <c r="G197" s="147">
        <v>0</v>
      </c>
      <c r="H197" s="133">
        <v>0</v>
      </c>
      <c r="I197" s="147">
        <v>0</v>
      </c>
      <c r="J197" s="147">
        <v>0</v>
      </c>
      <c r="K197" s="151"/>
      <c r="L197" s="134">
        <v>86312</v>
      </c>
      <c r="M197" s="135">
        <v>12590900</v>
      </c>
      <c r="N197" s="132"/>
      <c r="O197" s="136">
        <f t="shared" si="27"/>
        <v>12590900</v>
      </c>
      <c r="P197" s="137">
        <v>12590900</v>
      </c>
      <c r="Q197" s="132"/>
      <c r="R197" s="138">
        <f t="shared" si="25"/>
        <v>12590900</v>
      </c>
      <c r="S197" s="190">
        <v>0</v>
      </c>
      <c r="T197" s="135">
        <v>12590900</v>
      </c>
      <c r="U197" s="132"/>
      <c r="V197" s="136">
        <f t="shared" si="28"/>
        <v>12590900</v>
      </c>
      <c r="W197" s="137">
        <v>12590900</v>
      </c>
      <c r="X197" s="132"/>
      <c r="Y197" s="138">
        <f t="shared" si="5"/>
        <v>12590900</v>
      </c>
      <c r="Z197" s="174">
        <f t="shared" si="30"/>
        <v>0</v>
      </c>
      <c r="AA197" s="148">
        <f t="shared" si="30"/>
        <v>0</v>
      </c>
      <c r="AC197" s="203"/>
    </row>
    <row r="198" spans="2:29" ht="19.5" customHeight="1" x14ac:dyDescent="0.25">
      <c r="B198" s="173" t="s">
        <v>230</v>
      </c>
      <c r="C198" s="131" t="s">
        <v>247</v>
      </c>
      <c r="D198" s="131">
        <v>1</v>
      </c>
      <c r="E198" s="132"/>
      <c r="F198" s="147">
        <v>0</v>
      </c>
      <c r="G198" s="147">
        <v>0</v>
      </c>
      <c r="H198" s="133">
        <v>0</v>
      </c>
      <c r="I198" s="147">
        <v>0</v>
      </c>
      <c r="J198" s="147">
        <v>0</v>
      </c>
      <c r="K198" s="151"/>
      <c r="L198" s="134">
        <v>86320</v>
      </c>
      <c r="M198" s="135">
        <v>87000</v>
      </c>
      <c r="N198" s="132"/>
      <c r="O198" s="136">
        <f t="shared" si="27"/>
        <v>87000</v>
      </c>
      <c r="P198" s="137">
        <v>87000</v>
      </c>
      <c r="Q198" s="132"/>
      <c r="R198" s="138">
        <f t="shared" si="25"/>
        <v>87000</v>
      </c>
      <c r="S198" s="190">
        <v>0</v>
      </c>
      <c r="T198" s="135">
        <v>87000</v>
      </c>
      <c r="U198" s="132"/>
      <c r="V198" s="136">
        <f t="shared" si="28"/>
        <v>87000</v>
      </c>
      <c r="W198" s="137">
        <v>87000</v>
      </c>
      <c r="X198" s="132"/>
      <c r="Y198" s="138">
        <f t="shared" si="5"/>
        <v>87000</v>
      </c>
      <c r="Z198" s="174">
        <f t="shared" si="30"/>
        <v>0</v>
      </c>
      <c r="AA198" s="148">
        <f t="shared" si="30"/>
        <v>0</v>
      </c>
    </row>
    <row r="199" spans="2:29" ht="19.5" customHeight="1" x14ac:dyDescent="0.25">
      <c r="B199" s="173" t="s">
        <v>230</v>
      </c>
      <c r="C199" s="131" t="s">
        <v>248</v>
      </c>
      <c r="D199" s="131">
        <v>1</v>
      </c>
      <c r="E199" s="132"/>
      <c r="F199" s="147">
        <v>0</v>
      </c>
      <c r="G199" s="147">
        <v>0</v>
      </c>
      <c r="H199" s="133">
        <v>0</v>
      </c>
      <c r="I199" s="147">
        <v>0</v>
      </c>
      <c r="J199" s="147">
        <v>0</v>
      </c>
      <c r="K199" s="151"/>
      <c r="L199" s="134">
        <v>86330</v>
      </c>
      <c r="M199" s="135">
        <v>573300</v>
      </c>
      <c r="N199" s="132"/>
      <c r="O199" s="136">
        <f t="shared" si="27"/>
        <v>573300</v>
      </c>
      <c r="P199" s="137">
        <v>573300</v>
      </c>
      <c r="Q199" s="132"/>
      <c r="R199" s="138">
        <f t="shared" si="25"/>
        <v>573300</v>
      </c>
      <c r="S199" s="190">
        <v>0</v>
      </c>
      <c r="T199" s="135">
        <v>573300</v>
      </c>
      <c r="U199" s="132"/>
      <c r="V199" s="136">
        <f t="shared" si="28"/>
        <v>573300</v>
      </c>
      <c r="W199" s="137">
        <v>573300</v>
      </c>
      <c r="X199" s="132"/>
      <c r="Y199" s="138">
        <f t="shared" si="5"/>
        <v>573300</v>
      </c>
      <c r="Z199" s="174">
        <f t="shared" si="30"/>
        <v>0</v>
      </c>
      <c r="AA199" s="148">
        <f t="shared" si="30"/>
        <v>0</v>
      </c>
    </row>
    <row r="200" spans="2:29" ht="19.5" customHeight="1" x14ac:dyDescent="0.25">
      <c r="B200" s="173" t="s">
        <v>230</v>
      </c>
      <c r="C200" s="131" t="s">
        <v>249</v>
      </c>
      <c r="D200" s="131">
        <v>1</v>
      </c>
      <c r="E200" s="132"/>
      <c r="F200" s="147">
        <v>0</v>
      </c>
      <c r="G200" s="147">
        <v>0</v>
      </c>
      <c r="H200" s="133">
        <v>0</v>
      </c>
      <c r="I200" s="147">
        <v>0</v>
      </c>
      <c r="J200" s="147">
        <v>0</v>
      </c>
      <c r="K200" s="151"/>
      <c r="L200" s="134">
        <v>8912197</v>
      </c>
      <c r="M200" s="135">
        <v>1589200</v>
      </c>
      <c r="N200" s="132"/>
      <c r="O200" s="136">
        <f t="shared" si="27"/>
        <v>1589200</v>
      </c>
      <c r="P200" s="137">
        <v>1589200</v>
      </c>
      <c r="Q200" s="132"/>
      <c r="R200" s="138">
        <f t="shared" si="25"/>
        <v>1589200</v>
      </c>
      <c r="S200" s="190">
        <v>0</v>
      </c>
      <c r="T200" s="135">
        <v>1589200</v>
      </c>
      <c r="U200" s="132"/>
      <c r="V200" s="136">
        <f t="shared" si="28"/>
        <v>1589200</v>
      </c>
      <c r="W200" s="137">
        <v>1589200</v>
      </c>
      <c r="X200" s="132"/>
      <c r="Y200" s="138">
        <f t="shared" si="5"/>
        <v>1589200</v>
      </c>
      <c r="Z200" s="174">
        <f t="shared" si="30"/>
        <v>0</v>
      </c>
      <c r="AA200" s="148">
        <f t="shared" si="30"/>
        <v>0</v>
      </c>
    </row>
    <row r="201" spans="2:29" ht="19.5" customHeight="1" x14ac:dyDescent="0.25">
      <c r="B201" s="173" t="s">
        <v>230</v>
      </c>
      <c r="C201" s="131" t="s">
        <v>250</v>
      </c>
      <c r="D201" s="131">
        <v>1</v>
      </c>
      <c r="E201" s="132"/>
      <c r="F201" s="147">
        <v>0</v>
      </c>
      <c r="G201" s="147">
        <v>0</v>
      </c>
      <c r="H201" s="133">
        <v>0</v>
      </c>
      <c r="I201" s="147">
        <v>0</v>
      </c>
      <c r="J201" s="147">
        <v>0</v>
      </c>
      <c r="K201" s="151"/>
      <c r="L201" s="134">
        <v>87142</v>
      </c>
      <c r="M201" s="135">
        <v>189000</v>
      </c>
      <c r="N201" s="132"/>
      <c r="O201" s="136">
        <f t="shared" si="27"/>
        <v>189000</v>
      </c>
      <c r="P201" s="137">
        <v>189000</v>
      </c>
      <c r="Q201" s="132"/>
      <c r="R201" s="138">
        <f t="shared" si="25"/>
        <v>189000</v>
      </c>
      <c r="S201" s="190">
        <v>0</v>
      </c>
      <c r="T201" s="135">
        <v>189000</v>
      </c>
      <c r="U201" s="132"/>
      <c r="V201" s="136">
        <f t="shared" si="28"/>
        <v>189000</v>
      </c>
      <c r="W201" s="137">
        <v>189000</v>
      </c>
      <c r="X201" s="132"/>
      <c r="Y201" s="138">
        <f t="shared" si="5"/>
        <v>189000</v>
      </c>
      <c r="Z201" s="174">
        <f t="shared" si="30"/>
        <v>0</v>
      </c>
      <c r="AA201" s="148">
        <f t="shared" si="30"/>
        <v>0</v>
      </c>
    </row>
    <row r="202" spans="2:29" ht="19.5" customHeight="1" x14ac:dyDescent="0.25">
      <c r="B202" s="173" t="s">
        <v>230</v>
      </c>
      <c r="C202" s="131" t="s">
        <v>251</v>
      </c>
      <c r="D202" s="131">
        <v>1</v>
      </c>
      <c r="E202" s="132"/>
      <c r="F202" s="147">
        <v>0</v>
      </c>
      <c r="G202" s="147">
        <v>0</v>
      </c>
      <c r="H202" s="133">
        <v>0</v>
      </c>
      <c r="I202" s="147">
        <v>0</v>
      </c>
      <c r="J202" s="147">
        <v>0</v>
      </c>
      <c r="K202" s="151"/>
      <c r="L202" s="134">
        <v>8715203</v>
      </c>
      <c r="M202" s="135">
        <v>123000</v>
      </c>
      <c r="N202" s="132"/>
      <c r="O202" s="136">
        <f t="shared" si="27"/>
        <v>123000</v>
      </c>
      <c r="P202" s="137">
        <v>123000</v>
      </c>
      <c r="Q202" s="132"/>
      <c r="R202" s="138">
        <f t="shared" si="25"/>
        <v>123000</v>
      </c>
      <c r="S202" s="190">
        <v>0</v>
      </c>
      <c r="T202" s="135">
        <v>123000</v>
      </c>
      <c r="U202" s="132"/>
      <c r="V202" s="136">
        <f t="shared" si="28"/>
        <v>123000</v>
      </c>
      <c r="W202" s="137">
        <v>123000</v>
      </c>
      <c r="X202" s="132"/>
      <c r="Y202" s="138">
        <f t="shared" si="5"/>
        <v>123000</v>
      </c>
      <c r="Z202" s="174">
        <f t="shared" si="30"/>
        <v>0</v>
      </c>
      <c r="AA202" s="148">
        <f t="shared" si="30"/>
        <v>0</v>
      </c>
    </row>
    <row r="203" spans="2:29" ht="19.5" customHeight="1" x14ac:dyDescent="0.25">
      <c r="B203" s="173" t="s">
        <v>230</v>
      </c>
      <c r="C203" s="131" t="s">
        <v>242</v>
      </c>
      <c r="D203" s="131">
        <v>1</v>
      </c>
      <c r="E203" s="132"/>
      <c r="F203" s="147"/>
      <c r="G203" s="147"/>
      <c r="H203" s="133"/>
      <c r="I203" s="147"/>
      <c r="J203" s="147"/>
      <c r="K203" s="151"/>
      <c r="L203" s="134">
        <v>8714102</v>
      </c>
      <c r="M203" s="135">
        <v>1693100</v>
      </c>
      <c r="N203" s="132"/>
      <c r="O203" s="136">
        <f t="shared" si="27"/>
        <v>1693100</v>
      </c>
      <c r="P203" s="137">
        <v>1693100</v>
      </c>
      <c r="Q203" s="132"/>
      <c r="R203" s="138">
        <f t="shared" si="25"/>
        <v>1693100</v>
      </c>
      <c r="S203" s="190"/>
      <c r="T203" s="135">
        <v>1693100</v>
      </c>
      <c r="U203" s="132"/>
      <c r="V203" s="136">
        <f t="shared" si="28"/>
        <v>1693100</v>
      </c>
      <c r="W203" s="137">
        <v>1693100</v>
      </c>
      <c r="X203" s="132"/>
      <c r="Y203" s="138">
        <f t="shared" si="5"/>
        <v>1693100</v>
      </c>
      <c r="Z203" s="174"/>
      <c r="AA203" s="148"/>
    </row>
    <row r="204" spans="2:29" ht="19.5" customHeight="1" x14ac:dyDescent="0.25">
      <c r="B204" s="173" t="s">
        <v>230</v>
      </c>
      <c r="C204" s="131" t="s">
        <v>252</v>
      </c>
      <c r="D204" s="131">
        <v>1</v>
      </c>
      <c r="E204" s="132"/>
      <c r="F204" s="147">
        <v>0</v>
      </c>
      <c r="G204" s="147">
        <v>0</v>
      </c>
      <c r="H204" s="133">
        <v>0</v>
      </c>
      <c r="I204" s="147">
        <v>0</v>
      </c>
      <c r="J204" s="147">
        <v>0</v>
      </c>
      <c r="K204" s="151"/>
      <c r="L204" s="134">
        <v>8715205</v>
      </c>
      <c r="M204" s="135">
        <v>1193001</v>
      </c>
      <c r="N204" s="132"/>
      <c r="O204" s="136">
        <f>+M204+N204</f>
        <v>1193001</v>
      </c>
      <c r="P204" s="137">
        <v>1193001</v>
      </c>
      <c r="Q204" s="132"/>
      <c r="R204" s="138">
        <f t="shared" si="25"/>
        <v>1193001</v>
      </c>
      <c r="S204" s="190">
        <v>0</v>
      </c>
      <c r="T204" s="135">
        <v>1193001</v>
      </c>
      <c r="U204" s="132"/>
      <c r="V204" s="136">
        <f t="shared" si="28"/>
        <v>1193001</v>
      </c>
      <c r="W204" s="137">
        <v>1193001</v>
      </c>
      <c r="X204" s="132"/>
      <c r="Y204" s="138">
        <f t="shared" si="5"/>
        <v>1193001</v>
      </c>
      <c r="Z204" s="174">
        <f t="shared" si="30"/>
        <v>0</v>
      </c>
      <c r="AA204" s="148">
        <f t="shared" si="30"/>
        <v>0</v>
      </c>
    </row>
    <row r="205" spans="2:29" ht="19.5" customHeight="1" x14ac:dyDescent="0.25">
      <c r="B205" s="173" t="s">
        <v>230</v>
      </c>
      <c r="C205" s="131" t="s">
        <v>253</v>
      </c>
      <c r="D205" s="131">
        <v>1</v>
      </c>
      <c r="E205" s="132"/>
      <c r="F205" s="147">
        <v>0</v>
      </c>
      <c r="G205" s="147">
        <v>0</v>
      </c>
      <c r="H205" s="133">
        <v>0</v>
      </c>
      <c r="I205" s="147">
        <v>0</v>
      </c>
      <c r="J205" s="147">
        <v>0</v>
      </c>
      <c r="K205" s="151"/>
      <c r="L205" s="134">
        <v>87130</v>
      </c>
      <c r="M205" s="135">
        <v>1028000</v>
      </c>
      <c r="N205" s="132"/>
      <c r="O205" s="136">
        <f t="shared" si="27"/>
        <v>1028000</v>
      </c>
      <c r="P205" s="137">
        <v>1028000</v>
      </c>
      <c r="Q205" s="132"/>
      <c r="R205" s="138">
        <f t="shared" si="25"/>
        <v>1028000</v>
      </c>
      <c r="S205" s="190">
        <v>0</v>
      </c>
      <c r="T205" s="135">
        <v>1028000</v>
      </c>
      <c r="U205" s="132"/>
      <c r="V205" s="136">
        <f t="shared" si="28"/>
        <v>1028000</v>
      </c>
      <c r="W205" s="137">
        <v>1028000</v>
      </c>
      <c r="X205" s="132"/>
      <c r="Y205" s="138">
        <f t="shared" si="5"/>
        <v>1028000</v>
      </c>
      <c r="Z205" s="174">
        <f t="shared" si="30"/>
        <v>0</v>
      </c>
      <c r="AA205" s="148">
        <f t="shared" si="30"/>
        <v>0</v>
      </c>
    </row>
    <row r="206" spans="2:29" ht="19.5" customHeight="1" x14ac:dyDescent="0.25">
      <c r="B206" s="173" t="s">
        <v>230</v>
      </c>
      <c r="C206" s="131" t="s">
        <v>254</v>
      </c>
      <c r="D206" s="131">
        <v>1</v>
      </c>
      <c r="E206" s="132"/>
      <c r="F206" s="147">
        <v>0</v>
      </c>
      <c r="G206" s="147">
        <v>0</v>
      </c>
      <c r="H206" s="133">
        <v>0</v>
      </c>
      <c r="I206" s="147">
        <v>0</v>
      </c>
      <c r="J206" s="147">
        <v>0</v>
      </c>
      <c r="K206" s="151"/>
      <c r="L206" s="134">
        <v>8715699</v>
      </c>
      <c r="M206" s="135">
        <v>1400000</v>
      </c>
      <c r="N206" s="132"/>
      <c r="O206" s="136">
        <f t="shared" si="27"/>
        <v>1400000</v>
      </c>
      <c r="P206" s="137">
        <v>1400000</v>
      </c>
      <c r="Q206" s="132"/>
      <c r="R206" s="138">
        <f t="shared" si="25"/>
        <v>1400000</v>
      </c>
      <c r="S206" s="190">
        <v>0</v>
      </c>
      <c r="T206" s="135">
        <v>1400000</v>
      </c>
      <c r="U206" s="132"/>
      <c r="V206" s="136">
        <f t="shared" si="28"/>
        <v>1400000</v>
      </c>
      <c r="W206" s="137">
        <v>1400000</v>
      </c>
      <c r="X206" s="132"/>
      <c r="Y206" s="138">
        <f t="shared" si="5"/>
        <v>1400000</v>
      </c>
      <c r="Z206" s="174"/>
      <c r="AA206" s="148"/>
    </row>
    <row r="207" spans="2:29" ht="19.5" customHeight="1" x14ac:dyDescent="0.25">
      <c r="B207" s="173" t="s">
        <v>230</v>
      </c>
      <c r="C207" s="131" t="s">
        <v>255</v>
      </c>
      <c r="D207" s="131">
        <v>1</v>
      </c>
      <c r="E207" s="132"/>
      <c r="F207" s="147">
        <v>0</v>
      </c>
      <c r="G207" s="147">
        <v>0</v>
      </c>
      <c r="H207" s="133">
        <v>0</v>
      </c>
      <c r="I207" s="147">
        <v>0</v>
      </c>
      <c r="J207" s="147">
        <v>0</v>
      </c>
      <c r="K207" s="151"/>
      <c r="L207" s="134">
        <v>8363202</v>
      </c>
      <c r="M207" s="135">
        <v>788600</v>
      </c>
      <c r="N207" s="132"/>
      <c r="O207" s="136">
        <f t="shared" si="27"/>
        <v>788600</v>
      </c>
      <c r="P207" s="137">
        <v>788600</v>
      </c>
      <c r="Q207" s="132"/>
      <c r="R207" s="138">
        <f t="shared" si="25"/>
        <v>788600</v>
      </c>
      <c r="S207" s="190">
        <v>0</v>
      </c>
      <c r="T207" s="135">
        <v>788600</v>
      </c>
      <c r="U207" s="132"/>
      <c r="V207" s="136">
        <f t="shared" si="28"/>
        <v>788600</v>
      </c>
      <c r="W207" s="137">
        <v>788600</v>
      </c>
      <c r="X207" s="132"/>
      <c r="Y207" s="138">
        <f t="shared" si="5"/>
        <v>788600</v>
      </c>
      <c r="Z207" s="174"/>
      <c r="AA207" s="148"/>
    </row>
    <row r="208" spans="2:29" ht="19.5" customHeight="1" x14ac:dyDescent="0.25">
      <c r="B208" s="173" t="s">
        <v>230</v>
      </c>
      <c r="C208" s="131" t="s">
        <v>256</v>
      </c>
      <c r="D208" s="131">
        <v>1</v>
      </c>
      <c r="E208" s="132"/>
      <c r="F208" s="147">
        <v>0</v>
      </c>
      <c r="G208" s="147">
        <v>0</v>
      </c>
      <c r="H208" s="133">
        <v>0</v>
      </c>
      <c r="I208" s="147">
        <v>0</v>
      </c>
      <c r="J208" s="147">
        <v>0</v>
      </c>
      <c r="K208" s="151"/>
      <c r="L208" s="134">
        <v>8715999</v>
      </c>
      <c r="M208" s="135">
        <v>260000</v>
      </c>
      <c r="N208" s="132"/>
      <c r="O208" s="136">
        <f t="shared" si="27"/>
        <v>260000</v>
      </c>
      <c r="P208" s="137">
        <v>260000</v>
      </c>
      <c r="Q208" s="132"/>
      <c r="R208" s="138">
        <f t="shared" si="25"/>
        <v>260000</v>
      </c>
      <c r="S208" s="190">
        <v>0</v>
      </c>
      <c r="T208" s="135">
        <v>260000</v>
      </c>
      <c r="U208" s="132"/>
      <c r="V208" s="136">
        <f t="shared" si="28"/>
        <v>260000</v>
      </c>
      <c r="W208" s="137">
        <v>260000</v>
      </c>
      <c r="X208" s="132"/>
      <c r="Y208" s="138">
        <f t="shared" si="5"/>
        <v>260000</v>
      </c>
      <c r="Z208" s="174">
        <f>+U208-X208</f>
        <v>0</v>
      </c>
      <c r="AA208" s="148">
        <f>+V208-Y208</f>
        <v>0</v>
      </c>
    </row>
    <row r="209" spans="2:27" ht="19.5" customHeight="1" x14ac:dyDescent="0.25">
      <c r="B209" s="173" t="s">
        <v>230</v>
      </c>
      <c r="C209" s="131" t="s">
        <v>257</v>
      </c>
      <c r="D209" s="131">
        <v>1</v>
      </c>
      <c r="E209" s="132"/>
      <c r="F209" s="147"/>
      <c r="G209" s="147"/>
      <c r="H209" s="133"/>
      <c r="I209" s="147"/>
      <c r="J209" s="147"/>
      <c r="K209" s="151"/>
      <c r="L209" s="134">
        <v>83619</v>
      </c>
      <c r="M209" s="135">
        <v>5600000</v>
      </c>
      <c r="N209" s="132">
        <v>1026666</v>
      </c>
      <c r="O209" s="136">
        <f t="shared" si="27"/>
        <v>6626666</v>
      </c>
      <c r="P209" s="137">
        <v>5600000</v>
      </c>
      <c r="Q209" s="132">
        <v>1026666</v>
      </c>
      <c r="R209" s="138">
        <f t="shared" si="25"/>
        <v>6626666</v>
      </c>
      <c r="S209" s="190"/>
      <c r="T209" s="135">
        <v>2800000</v>
      </c>
      <c r="U209" s="132">
        <f>2800000+1026666</f>
        <v>3826666</v>
      </c>
      <c r="V209" s="136">
        <f t="shared" si="28"/>
        <v>6626666</v>
      </c>
      <c r="W209" s="137">
        <v>2800000</v>
      </c>
      <c r="X209" s="132">
        <f>2800000+1026666</f>
        <v>3826666</v>
      </c>
      <c r="Y209" s="138">
        <f t="shared" si="5"/>
        <v>6626666</v>
      </c>
      <c r="Z209" s="174"/>
      <c r="AA209" s="148"/>
    </row>
    <row r="210" spans="2:27" ht="19.5" customHeight="1" x14ac:dyDescent="0.25">
      <c r="B210" s="173" t="s">
        <v>230</v>
      </c>
      <c r="C210" s="131" t="s">
        <v>258</v>
      </c>
      <c r="D210" s="131">
        <v>1</v>
      </c>
      <c r="E210" s="132"/>
      <c r="F210" s="147"/>
      <c r="G210" s="147"/>
      <c r="H210" s="133"/>
      <c r="I210" s="147"/>
      <c r="J210" s="147"/>
      <c r="K210" s="151"/>
      <c r="L210" s="134"/>
      <c r="M210" s="135">
        <v>300000</v>
      </c>
      <c r="N210" s="132"/>
      <c r="O210" s="136">
        <f t="shared" si="27"/>
        <v>300000</v>
      </c>
      <c r="P210" s="137">
        <v>300000</v>
      </c>
      <c r="Q210" s="132"/>
      <c r="R210" s="138">
        <f t="shared" si="25"/>
        <v>300000</v>
      </c>
      <c r="S210" s="190"/>
      <c r="T210" s="135">
        <v>300000</v>
      </c>
      <c r="U210" s="132"/>
      <c r="V210" s="136">
        <f t="shared" si="28"/>
        <v>300000</v>
      </c>
      <c r="W210" s="137">
        <v>300000</v>
      </c>
      <c r="X210" s="132"/>
      <c r="Y210" s="138">
        <f t="shared" si="5"/>
        <v>300000</v>
      </c>
      <c r="Z210" s="174"/>
      <c r="AA210" s="148"/>
    </row>
    <row r="211" spans="2:27" ht="19.5" customHeight="1" x14ac:dyDescent="0.25">
      <c r="B211" s="173" t="s">
        <v>230</v>
      </c>
      <c r="C211" s="131" t="s">
        <v>259</v>
      </c>
      <c r="D211" s="131">
        <v>1</v>
      </c>
      <c r="E211" s="132"/>
      <c r="F211" s="147"/>
      <c r="G211" s="147"/>
      <c r="H211" s="133"/>
      <c r="I211" s="147"/>
      <c r="J211" s="147"/>
      <c r="K211" s="151"/>
      <c r="L211" s="134">
        <v>83143</v>
      </c>
      <c r="M211" s="135"/>
      <c r="N211" s="132">
        <v>20000000</v>
      </c>
      <c r="O211" s="136">
        <f t="shared" si="27"/>
        <v>20000000</v>
      </c>
      <c r="P211" s="137"/>
      <c r="Q211" s="132">
        <v>20000000</v>
      </c>
      <c r="R211" s="138">
        <f t="shared" si="25"/>
        <v>20000000</v>
      </c>
      <c r="S211" s="190"/>
      <c r="T211" s="135"/>
      <c r="U211" s="132">
        <v>20000000</v>
      </c>
      <c r="V211" s="136">
        <f t="shared" si="28"/>
        <v>20000000</v>
      </c>
      <c r="W211" s="137"/>
      <c r="X211" s="132">
        <v>20000000</v>
      </c>
      <c r="Y211" s="138">
        <f t="shared" si="5"/>
        <v>20000000</v>
      </c>
      <c r="Z211" s="174"/>
      <c r="AA211" s="148"/>
    </row>
    <row r="212" spans="2:27" ht="19.5" customHeight="1" x14ac:dyDescent="0.25">
      <c r="B212" s="173" t="s">
        <v>230</v>
      </c>
      <c r="C212" s="131" t="s">
        <v>260</v>
      </c>
      <c r="D212" s="131">
        <v>1</v>
      </c>
      <c r="E212" s="132"/>
      <c r="F212" s="147"/>
      <c r="G212" s="147"/>
      <c r="H212" s="133"/>
      <c r="I212" s="147"/>
      <c r="J212" s="147"/>
      <c r="K212" s="151"/>
      <c r="L212" s="134">
        <v>84520</v>
      </c>
      <c r="M212" s="135"/>
      <c r="N212" s="132">
        <v>47064140</v>
      </c>
      <c r="O212" s="136">
        <f t="shared" si="27"/>
        <v>47064140</v>
      </c>
      <c r="P212" s="137"/>
      <c r="Q212" s="132">
        <v>47064140</v>
      </c>
      <c r="R212" s="138">
        <f t="shared" si="25"/>
        <v>47064140</v>
      </c>
      <c r="S212" s="190"/>
      <c r="T212" s="135"/>
      <c r="U212" s="132"/>
      <c r="V212" s="136">
        <f t="shared" si="28"/>
        <v>0</v>
      </c>
      <c r="W212" s="137"/>
      <c r="X212" s="132"/>
      <c r="Y212" s="138">
        <f t="shared" si="5"/>
        <v>0</v>
      </c>
      <c r="Z212" s="174"/>
      <c r="AA212" s="148">
        <f>R212-Y212</f>
        <v>47064140</v>
      </c>
    </row>
    <row r="213" spans="2:27" ht="19.5" customHeight="1" x14ac:dyDescent="0.25">
      <c r="B213" s="173" t="s">
        <v>230</v>
      </c>
      <c r="C213" s="131" t="s">
        <v>261</v>
      </c>
      <c r="D213" s="131"/>
      <c r="E213" s="132"/>
      <c r="F213" s="147"/>
      <c r="G213" s="147"/>
      <c r="H213" s="133"/>
      <c r="I213" s="147"/>
      <c r="J213" s="147"/>
      <c r="K213" s="151"/>
      <c r="L213" s="134">
        <v>83151</v>
      </c>
      <c r="M213" s="135"/>
      <c r="N213" s="132">
        <v>39600000</v>
      </c>
      <c r="O213" s="136">
        <f t="shared" si="27"/>
        <v>39600000</v>
      </c>
      <c r="P213" s="137"/>
      <c r="Q213" s="132">
        <v>39600000</v>
      </c>
      <c r="R213" s="138">
        <f t="shared" si="25"/>
        <v>39600000</v>
      </c>
      <c r="S213" s="190"/>
      <c r="T213" s="135"/>
      <c r="U213" s="132">
        <v>39600000</v>
      </c>
      <c r="V213" s="136">
        <f t="shared" si="28"/>
        <v>39600000</v>
      </c>
      <c r="W213" s="137"/>
      <c r="X213" s="132">
        <v>39600000</v>
      </c>
      <c r="Y213" s="138">
        <f t="shared" si="5"/>
        <v>39600000</v>
      </c>
      <c r="Z213" s="174"/>
      <c r="AA213" s="148"/>
    </row>
    <row r="214" spans="2:27" s="266" customFormat="1" ht="25.5" customHeight="1" x14ac:dyDescent="0.25">
      <c r="B214" s="169" t="s">
        <v>230</v>
      </c>
      <c r="C214" s="121" t="s">
        <v>231</v>
      </c>
      <c r="D214" s="121">
        <v>45</v>
      </c>
      <c r="E214" s="122">
        <v>0</v>
      </c>
      <c r="F214" s="122">
        <v>0</v>
      </c>
      <c r="G214" s="122">
        <f>SUM(G216)</f>
        <v>10579540</v>
      </c>
      <c r="H214" s="170">
        <v>0</v>
      </c>
      <c r="I214" s="122">
        <v>0</v>
      </c>
      <c r="J214" s="122">
        <v>42500000</v>
      </c>
      <c r="K214" s="122">
        <f>E214+F214-G214-I214+J214</f>
        <v>31920460</v>
      </c>
      <c r="L214" s="123"/>
      <c r="M214" s="125">
        <f>SUM(M215:M219)</f>
        <v>29000000</v>
      </c>
      <c r="N214" s="122">
        <f>SUM(N215:N219)</f>
        <v>2920460</v>
      </c>
      <c r="O214" s="126">
        <f>+M214+N214</f>
        <v>31920460</v>
      </c>
      <c r="P214" s="144">
        <f>SUM(P215:P219)</f>
        <v>29000000</v>
      </c>
      <c r="Q214" s="122">
        <f>SUM(Q215:Q219)</f>
        <v>2920460</v>
      </c>
      <c r="R214" s="127">
        <f>+Q214+P214</f>
        <v>31920460</v>
      </c>
      <c r="S214" s="145">
        <f>+K214-R214</f>
        <v>0</v>
      </c>
      <c r="T214" s="125">
        <f>SUM(T215:T219)</f>
        <v>0</v>
      </c>
      <c r="U214" s="122">
        <f>SUM(U215:U219)</f>
        <v>29984600</v>
      </c>
      <c r="V214" s="126">
        <f>T214+U214</f>
        <v>29984600</v>
      </c>
      <c r="W214" s="144">
        <f>SUM(W215:W219)</f>
        <v>0</v>
      </c>
      <c r="X214" s="122">
        <f>SUM(X215:X219)</f>
        <v>29984600</v>
      </c>
      <c r="Y214" s="127">
        <f>W214+X214</f>
        <v>29984600</v>
      </c>
      <c r="Z214" s="171">
        <f>SUM(Z215:Z219)</f>
        <v>0</v>
      </c>
      <c r="AA214" s="172">
        <f>SUM(AA215:AA219)</f>
        <v>1935860</v>
      </c>
    </row>
    <row r="215" spans="2:27" ht="25.5" customHeight="1" x14ac:dyDescent="0.25">
      <c r="B215" s="173" t="s">
        <v>230</v>
      </c>
      <c r="C215" s="131" t="s">
        <v>262</v>
      </c>
      <c r="D215" s="131">
        <v>45</v>
      </c>
      <c r="E215" s="132"/>
      <c r="F215" s="147"/>
      <c r="G215" s="147"/>
      <c r="H215" s="133"/>
      <c r="I215" s="147"/>
      <c r="J215" s="147"/>
      <c r="K215" s="151"/>
      <c r="L215" s="134">
        <v>83990</v>
      </c>
      <c r="M215" s="135">
        <v>29000000</v>
      </c>
      <c r="N215" s="132"/>
      <c r="O215" s="136">
        <f t="shared" si="27"/>
        <v>29000000</v>
      </c>
      <c r="P215" s="137">
        <v>29000000</v>
      </c>
      <c r="Q215" s="132"/>
      <c r="R215" s="138">
        <f t="shared" si="25"/>
        <v>29000000</v>
      </c>
      <c r="S215" s="190"/>
      <c r="T215" s="135"/>
      <c r="U215" s="132">
        <v>29000000</v>
      </c>
      <c r="V215" s="136">
        <f>T215+U215</f>
        <v>29000000</v>
      </c>
      <c r="W215" s="137"/>
      <c r="X215" s="132">
        <v>29000000</v>
      </c>
      <c r="Y215" s="138">
        <f>W215+X215</f>
        <v>29000000</v>
      </c>
      <c r="Z215" s="174"/>
      <c r="AA215" s="148"/>
    </row>
    <row r="216" spans="2:27" ht="25.5" customHeight="1" x14ac:dyDescent="0.25">
      <c r="B216" s="173" t="s">
        <v>230</v>
      </c>
      <c r="C216" s="175" t="s">
        <v>263</v>
      </c>
      <c r="D216" s="131"/>
      <c r="E216" s="132"/>
      <c r="F216" s="147"/>
      <c r="G216" s="132">
        <f>9696108+883432</f>
        <v>10579540</v>
      </c>
      <c r="H216" s="133"/>
      <c r="I216" s="147"/>
      <c r="J216" s="147"/>
      <c r="K216" s="151"/>
      <c r="L216" s="134"/>
      <c r="M216" s="135"/>
      <c r="N216" s="132"/>
      <c r="O216" s="136">
        <f t="shared" si="27"/>
        <v>0</v>
      </c>
      <c r="P216" s="137"/>
      <c r="Q216" s="132"/>
      <c r="R216" s="138">
        <f t="shared" si="25"/>
        <v>0</v>
      </c>
      <c r="S216" s="190"/>
      <c r="T216" s="135"/>
      <c r="U216" s="132"/>
      <c r="V216" s="136">
        <f>T216+U216</f>
        <v>0</v>
      </c>
      <c r="W216" s="137"/>
      <c r="X216" s="132"/>
      <c r="Y216" s="138">
        <f>W216+X216</f>
        <v>0</v>
      </c>
      <c r="Z216" s="174"/>
      <c r="AA216" s="148"/>
    </row>
    <row r="217" spans="2:27" ht="25.5" customHeight="1" x14ac:dyDescent="0.25">
      <c r="B217" s="173" t="s">
        <v>230</v>
      </c>
      <c r="C217" s="131" t="s">
        <v>246</v>
      </c>
      <c r="D217" s="131"/>
      <c r="E217" s="132"/>
      <c r="F217" s="147"/>
      <c r="G217" s="132"/>
      <c r="H217" s="133"/>
      <c r="I217" s="147"/>
      <c r="J217" s="147"/>
      <c r="K217" s="151"/>
      <c r="L217" s="134"/>
      <c r="M217" s="135"/>
      <c r="N217" s="132">
        <v>984600</v>
      </c>
      <c r="O217" s="136">
        <f t="shared" si="27"/>
        <v>984600</v>
      </c>
      <c r="P217" s="137"/>
      <c r="Q217" s="132">
        <v>984600</v>
      </c>
      <c r="R217" s="138">
        <f t="shared" si="25"/>
        <v>984600</v>
      </c>
      <c r="S217" s="190"/>
      <c r="T217" s="135"/>
      <c r="U217" s="132">
        <v>984600</v>
      </c>
      <c r="V217" s="136">
        <f>T217+U217</f>
        <v>984600</v>
      </c>
      <c r="W217" s="137"/>
      <c r="X217" s="132">
        <v>984600</v>
      </c>
      <c r="Y217" s="138">
        <f>W217+X217</f>
        <v>984600</v>
      </c>
      <c r="Z217" s="174"/>
      <c r="AA217" s="148"/>
    </row>
    <row r="218" spans="2:27" ht="25.5" customHeight="1" x14ac:dyDescent="0.25">
      <c r="B218" s="173" t="s">
        <v>230</v>
      </c>
      <c r="C218" s="131" t="s">
        <v>260</v>
      </c>
      <c r="D218" s="131">
        <v>45</v>
      </c>
      <c r="E218" s="132"/>
      <c r="F218" s="147"/>
      <c r="G218" s="147"/>
      <c r="H218" s="133"/>
      <c r="I218" s="147"/>
      <c r="J218" s="147"/>
      <c r="K218" s="151"/>
      <c r="L218" s="134">
        <v>84520</v>
      </c>
      <c r="M218" s="135"/>
      <c r="N218" s="132">
        <v>1935860</v>
      </c>
      <c r="O218" s="136">
        <f t="shared" si="27"/>
        <v>1935860</v>
      </c>
      <c r="P218" s="137"/>
      <c r="Q218" s="132">
        <v>1935860</v>
      </c>
      <c r="R218" s="138">
        <f t="shared" si="25"/>
        <v>1935860</v>
      </c>
      <c r="S218" s="190"/>
      <c r="T218" s="135"/>
      <c r="U218" s="132"/>
      <c r="V218" s="136">
        <f>T218+U218</f>
        <v>0</v>
      </c>
      <c r="W218" s="137"/>
      <c r="X218" s="132"/>
      <c r="Y218" s="138"/>
      <c r="Z218" s="174"/>
      <c r="AA218" s="148">
        <f>R218-Y218</f>
        <v>1935860</v>
      </c>
    </row>
    <row r="219" spans="2:27" ht="25.5" customHeight="1" x14ac:dyDescent="0.25">
      <c r="B219" s="173"/>
      <c r="C219" s="131"/>
      <c r="D219" s="131">
        <v>45</v>
      </c>
      <c r="E219" s="132"/>
      <c r="F219" s="147"/>
      <c r="G219" s="147"/>
      <c r="H219" s="133"/>
      <c r="I219" s="147"/>
      <c r="J219" s="147"/>
      <c r="K219" s="151"/>
      <c r="L219" s="134"/>
      <c r="M219" s="135"/>
      <c r="N219" s="132"/>
      <c r="O219" s="136">
        <f t="shared" si="27"/>
        <v>0</v>
      </c>
      <c r="P219" s="137"/>
      <c r="Q219" s="132"/>
      <c r="R219" s="138">
        <f t="shared" si="25"/>
        <v>0</v>
      </c>
      <c r="S219" s="276"/>
      <c r="T219" s="135"/>
      <c r="U219" s="132"/>
      <c r="V219" s="136"/>
      <c r="W219" s="137"/>
      <c r="X219" s="132"/>
      <c r="Y219" s="138"/>
      <c r="Z219" s="174"/>
      <c r="AA219" s="148"/>
    </row>
    <row r="220" spans="2:27" s="96" customFormat="1" ht="25.5" customHeight="1" x14ac:dyDescent="0.25">
      <c r="B220" s="169" t="s">
        <v>264</v>
      </c>
      <c r="C220" s="121" t="s">
        <v>265</v>
      </c>
      <c r="D220" s="121">
        <v>1</v>
      </c>
      <c r="E220" s="122">
        <v>40000000</v>
      </c>
      <c r="F220" s="122">
        <v>0</v>
      </c>
      <c r="G220" s="122">
        <f>SUM(G221:G223)</f>
        <v>8360410</v>
      </c>
      <c r="H220" s="170">
        <v>0</v>
      </c>
      <c r="I220" s="122">
        <v>0</v>
      </c>
      <c r="J220" s="122">
        <f>SUM(J221:J224)</f>
        <v>25000000</v>
      </c>
      <c r="K220" s="122">
        <f>E220+F220-G220-I220+J220</f>
        <v>56639590</v>
      </c>
      <c r="L220" s="123"/>
      <c r="M220" s="125">
        <f>SUM(M223:M226)</f>
        <v>46000000</v>
      </c>
      <c r="N220" s="122">
        <f>SUM(N223:N226)</f>
        <v>10639590</v>
      </c>
      <c r="O220" s="126">
        <f t="shared" ref="O220:O231" si="31">+N220+M220</f>
        <v>56639590</v>
      </c>
      <c r="P220" s="144">
        <f>SUM(P223:P226)</f>
        <v>46000000</v>
      </c>
      <c r="Q220" s="122">
        <f>SUM(Q223:Q226)</f>
        <v>10639590</v>
      </c>
      <c r="R220" s="127">
        <f t="shared" ref="R220:R237" si="32">+P220+Q220</f>
        <v>56639590</v>
      </c>
      <c r="S220" s="145">
        <f>+K220-R220</f>
        <v>0</v>
      </c>
      <c r="T220" s="125">
        <f>SUM(T223:T226)</f>
        <v>6892120</v>
      </c>
      <c r="U220" s="122">
        <f>SUM(U223:U226)</f>
        <v>49747470</v>
      </c>
      <c r="V220" s="126">
        <f>T220+U220</f>
        <v>56639590</v>
      </c>
      <c r="W220" s="144">
        <f>SUM(W223:W226)</f>
        <v>6892120</v>
      </c>
      <c r="X220" s="122">
        <f>SUM(X223:X226)</f>
        <v>49747470</v>
      </c>
      <c r="Y220" s="127">
        <f>W220+X220</f>
        <v>56639590</v>
      </c>
      <c r="Z220" s="171">
        <f>SUM(Z221:Z226)</f>
        <v>0</v>
      </c>
      <c r="AA220" s="172">
        <f>SUM(AA221:AA226)</f>
        <v>0</v>
      </c>
    </row>
    <row r="221" spans="2:27" s="45" customFormat="1" ht="20.25" customHeight="1" x14ac:dyDescent="0.25">
      <c r="B221" s="277" t="s">
        <v>264</v>
      </c>
      <c r="C221" s="196" t="s">
        <v>232</v>
      </c>
      <c r="D221" s="196">
        <v>1</v>
      </c>
      <c r="E221" s="176"/>
      <c r="F221" s="176"/>
      <c r="G221" s="176"/>
      <c r="H221" s="180"/>
      <c r="I221" s="176"/>
      <c r="J221" s="176">
        <v>25000000</v>
      </c>
      <c r="K221" s="176"/>
      <c r="L221" s="267"/>
      <c r="M221" s="268"/>
      <c r="N221" s="176"/>
      <c r="O221" s="269"/>
      <c r="P221" s="270"/>
      <c r="Q221" s="176"/>
      <c r="R221" s="271"/>
      <c r="S221" s="272"/>
      <c r="T221" s="268"/>
      <c r="U221" s="176"/>
      <c r="V221" s="269"/>
      <c r="W221" s="270"/>
      <c r="X221" s="176"/>
      <c r="Y221" s="271"/>
      <c r="Z221" s="273"/>
      <c r="AA221" s="274"/>
    </row>
    <row r="222" spans="2:27" s="45" customFormat="1" ht="20.25" customHeight="1" x14ac:dyDescent="0.2">
      <c r="B222" s="277" t="s">
        <v>264</v>
      </c>
      <c r="C222" s="175" t="s">
        <v>97</v>
      </c>
      <c r="D222" s="196"/>
      <c r="E222" s="176"/>
      <c r="F222" s="176"/>
      <c r="G222" s="176">
        <v>8360410</v>
      </c>
      <c r="H222" s="180"/>
      <c r="I222" s="176"/>
      <c r="J222" s="176"/>
      <c r="K222" s="176"/>
      <c r="L222" s="267"/>
      <c r="M222" s="268"/>
      <c r="N222" s="176"/>
      <c r="O222" s="269"/>
      <c r="P222" s="270"/>
      <c r="Q222" s="176"/>
      <c r="R222" s="271"/>
      <c r="S222" s="272"/>
      <c r="T222" s="268"/>
      <c r="U222" s="176"/>
      <c r="V222" s="269"/>
      <c r="W222" s="270"/>
      <c r="X222" s="176"/>
      <c r="Y222" s="271"/>
      <c r="Z222" s="273"/>
      <c r="AA222" s="274"/>
    </row>
    <row r="223" spans="2:27" s="45" customFormat="1" ht="20.25" customHeight="1" x14ac:dyDescent="0.25">
      <c r="B223" s="277" t="s">
        <v>264</v>
      </c>
      <c r="C223" s="196" t="s">
        <v>266</v>
      </c>
      <c r="D223" s="196">
        <v>1</v>
      </c>
      <c r="E223" s="176"/>
      <c r="F223" s="176">
        <v>0</v>
      </c>
      <c r="G223" s="176">
        <v>0</v>
      </c>
      <c r="H223" s="180">
        <v>0</v>
      </c>
      <c r="I223" s="176">
        <v>0</v>
      </c>
      <c r="J223" s="176">
        <v>0</v>
      </c>
      <c r="K223" s="278"/>
      <c r="L223" s="267">
        <v>94110</v>
      </c>
      <c r="M223" s="268">
        <v>657030</v>
      </c>
      <c r="N223" s="176">
        <v>170100</v>
      </c>
      <c r="O223" s="269">
        <f t="shared" si="31"/>
        <v>827130</v>
      </c>
      <c r="P223" s="270">
        <v>657030</v>
      </c>
      <c r="Q223" s="176">
        <v>170100</v>
      </c>
      <c r="R223" s="271">
        <f t="shared" si="32"/>
        <v>827130</v>
      </c>
      <c r="S223" s="279">
        <v>0</v>
      </c>
      <c r="T223" s="268">
        <v>657030</v>
      </c>
      <c r="U223" s="176">
        <v>170100</v>
      </c>
      <c r="V223" s="269">
        <f>+T223+U223</f>
        <v>827130</v>
      </c>
      <c r="W223" s="270">
        <v>657030</v>
      </c>
      <c r="X223" s="176">
        <v>170100</v>
      </c>
      <c r="Y223" s="271">
        <f t="shared" si="5"/>
        <v>827130</v>
      </c>
      <c r="Z223" s="280">
        <f>+U223-X223</f>
        <v>0</v>
      </c>
      <c r="AA223" s="281">
        <f>+V223-Y223</f>
        <v>0</v>
      </c>
    </row>
    <row r="224" spans="2:27" s="45" customFormat="1" ht="26.25" customHeight="1" x14ac:dyDescent="0.25">
      <c r="B224" s="178" t="s">
        <v>264</v>
      </c>
      <c r="C224" s="282" t="s">
        <v>267</v>
      </c>
      <c r="D224" s="196">
        <v>1</v>
      </c>
      <c r="E224" s="176"/>
      <c r="F224" s="176"/>
      <c r="G224" s="176"/>
      <c r="H224" s="180"/>
      <c r="I224" s="176"/>
      <c r="J224" s="176"/>
      <c r="K224" s="278"/>
      <c r="L224" s="267">
        <v>94231</v>
      </c>
      <c r="M224" s="268">
        <v>349090</v>
      </c>
      <c r="N224" s="176">
        <v>116490</v>
      </c>
      <c r="O224" s="269">
        <f t="shared" si="31"/>
        <v>465580</v>
      </c>
      <c r="P224" s="270">
        <v>349090</v>
      </c>
      <c r="Q224" s="176">
        <v>116490</v>
      </c>
      <c r="R224" s="271">
        <f t="shared" si="32"/>
        <v>465580</v>
      </c>
      <c r="S224" s="279"/>
      <c r="T224" s="268">
        <v>349090</v>
      </c>
      <c r="U224" s="176">
        <v>116490</v>
      </c>
      <c r="V224" s="269">
        <f>+T224+U224</f>
        <v>465580</v>
      </c>
      <c r="W224" s="270">
        <v>349090</v>
      </c>
      <c r="X224" s="176">
        <v>116490</v>
      </c>
      <c r="Y224" s="271">
        <f t="shared" si="5"/>
        <v>465580</v>
      </c>
      <c r="Z224" s="280"/>
      <c r="AA224" s="281"/>
    </row>
    <row r="225" spans="2:27" s="45" customFormat="1" ht="20.25" customHeight="1" x14ac:dyDescent="0.25">
      <c r="B225" s="178" t="s">
        <v>264</v>
      </c>
      <c r="C225" s="196" t="s">
        <v>268</v>
      </c>
      <c r="D225" s="196">
        <v>1</v>
      </c>
      <c r="E225" s="176"/>
      <c r="F225" s="176">
        <v>0</v>
      </c>
      <c r="G225" s="176">
        <v>0</v>
      </c>
      <c r="H225" s="180">
        <v>0</v>
      </c>
      <c r="I225" s="176">
        <v>0</v>
      </c>
      <c r="J225" s="176">
        <v>0</v>
      </c>
      <c r="K225" s="278"/>
      <c r="L225" s="267">
        <v>99000</v>
      </c>
      <c r="M225" s="268">
        <v>5886000</v>
      </c>
      <c r="N225" s="176"/>
      <c r="O225" s="269">
        <f t="shared" si="31"/>
        <v>5886000</v>
      </c>
      <c r="P225" s="270">
        <v>5886000</v>
      </c>
      <c r="Q225" s="176"/>
      <c r="R225" s="271">
        <f t="shared" si="32"/>
        <v>5886000</v>
      </c>
      <c r="S225" s="279">
        <v>0</v>
      </c>
      <c r="T225" s="268">
        <v>5886000</v>
      </c>
      <c r="U225" s="176"/>
      <c r="V225" s="269">
        <f>+T225+U225</f>
        <v>5886000</v>
      </c>
      <c r="W225" s="270">
        <v>5886000</v>
      </c>
      <c r="X225" s="176"/>
      <c r="Y225" s="271">
        <f t="shared" si="5"/>
        <v>5886000</v>
      </c>
      <c r="Z225" s="280"/>
      <c r="AA225" s="281"/>
    </row>
    <row r="226" spans="2:27" s="45" customFormat="1" ht="20.25" customHeight="1" x14ac:dyDescent="0.25">
      <c r="B226" s="178" t="s">
        <v>264</v>
      </c>
      <c r="C226" s="196" t="s">
        <v>269</v>
      </c>
      <c r="D226" s="196">
        <v>1</v>
      </c>
      <c r="E226" s="176"/>
      <c r="F226" s="176"/>
      <c r="G226" s="176"/>
      <c r="H226" s="180"/>
      <c r="I226" s="176"/>
      <c r="J226" s="176"/>
      <c r="K226" s="278"/>
      <c r="L226" s="267">
        <v>99000</v>
      </c>
      <c r="M226" s="268">
        <v>39107880</v>
      </c>
      <c r="N226" s="176">
        <f>10353000</f>
        <v>10353000</v>
      </c>
      <c r="O226" s="269">
        <f t="shared" si="31"/>
        <v>49460880</v>
      </c>
      <c r="P226" s="270">
        <v>39107880</v>
      </c>
      <c r="Q226" s="176">
        <f>10353000</f>
        <v>10353000</v>
      </c>
      <c r="R226" s="271">
        <f t="shared" si="32"/>
        <v>49460880</v>
      </c>
      <c r="S226" s="279"/>
      <c r="T226" s="268"/>
      <c r="U226" s="176">
        <f>10353000+33107880+6000000</f>
        <v>49460880</v>
      </c>
      <c r="V226" s="269">
        <f>+T226+U226</f>
        <v>49460880</v>
      </c>
      <c r="W226" s="270"/>
      <c r="X226" s="176">
        <f>10353000+33107880+6000000</f>
        <v>49460880</v>
      </c>
      <c r="Y226" s="271">
        <f t="shared" si="5"/>
        <v>49460880</v>
      </c>
      <c r="Z226" s="280"/>
      <c r="AA226" s="281"/>
    </row>
    <row r="227" spans="2:27" s="96" customFormat="1" ht="24.75" customHeight="1" x14ac:dyDescent="0.25">
      <c r="B227" s="169" t="s">
        <v>264</v>
      </c>
      <c r="C227" s="121" t="s">
        <v>265</v>
      </c>
      <c r="D227" s="121">
        <v>45</v>
      </c>
      <c r="E227" s="122"/>
      <c r="F227" s="122">
        <f>SUM(F228:F230)</f>
        <v>15500000</v>
      </c>
      <c r="G227" s="122">
        <f>SUM(G229:I231)</f>
        <v>477880</v>
      </c>
      <c r="H227" s="170">
        <v>0</v>
      </c>
      <c r="I227" s="122">
        <v>0</v>
      </c>
      <c r="J227" s="122">
        <v>0</v>
      </c>
      <c r="K227" s="122">
        <f>E227+F227-G227-I227+J227</f>
        <v>15022120</v>
      </c>
      <c r="L227" s="123"/>
      <c r="M227" s="125">
        <f>SUM(M228:M231)</f>
        <v>15022120</v>
      </c>
      <c r="N227" s="122">
        <f>SUM(N228:N231)</f>
        <v>0</v>
      </c>
      <c r="O227" s="126">
        <f t="shared" si="31"/>
        <v>15022120</v>
      </c>
      <c r="P227" s="144">
        <f>SUM(P228:P231)</f>
        <v>15022120</v>
      </c>
      <c r="Q227" s="122">
        <f>SUM(Q228:Q230)</f>
        <v>0</v>
      </c>
      <c r="R227" s="127">
        <f>+P227+Q227</f>
        <v>15022120</v>
      </c>
      <c r="S227" s="145">
        <f>+K227-R227</f>
        <v>0</v>
      </c>
      <c r="T227" s="125">
        <f>SUM(T228:T231)</f>
        <v>580000</v>
      </c>
      <c r="U227" s="122">
        <f>SUM(U228:U231)</f>
        <v>14442120</v>
      </c>
      <c r="V227" s="126">
        <f>T227+U227</f>
        <v>15022120</v>
      </c>
      <c r="W227" s="144">
        <f>SUM(W228:W231)</f>
        <v>580000</v>
      </c>
      <c r="X227" s="122">
        <f>SUM(X228:X231)</f>
        <v>14442120</v>
      </c>
      <c r="Y227" s="127">
        <f>W227+X227</f>
        <v>15022120</v>
      </c>
      <c r="Z227" s="171"/>
      <c r="AA227" s="172"/>
    </row>
    <row r="228" spans="2:27" s="45" customFormat="1" ht="20.25" customHeight="1" x14ac:dyDescent="0.2">
      <c r="B228" s="178" t="s">
        <v>264</v>
      </c>
      <c r="C228" s="131" t="s">
        <v>221</v>
      </c>
      <c r="D228" s="196">
        <v>45</v>
      </c>
      <c r="E228" s="176"/>
      <c r="F228" s="176">
        <v>15500000</v>
      </c>
      <c r="G228" s="176"/>
      <c r="H228" s="180"/>
      <c r="I228" s="176"/>
      <c r="J228" s="176"/>
      <c r="K228" s="278"/>
      <c r="L228" s="267"/>
      <c r="M228" s="268"/>
      <c r="N228" s="176"/>
      <c r="O228" s="269"/>
      <c r="P228" s="270"/>
      <c r="Q228" s="176"/>
      <c r="R228" s="271"/>
      <c r="S228" s="279"/>
      <c r="T228" s="268"/>
      <c r="U228" s="176"/>
      <c r="V228" s="269"/>
      <c r="W228" s="270"/>
      <c r="X228" s="176"/>
      <c r="Y228" s="271"/>
      <c r="Z228" s="280"/>
      <c r="AA228" s="281"/>
    </row>
    <row r="229" spans="2:27" s="45" customFormat="1" ht="20.25" customHeight="1" x14ac:dyDescent="0.2">
      <c r="B229" s="178" t="s">
        <v>264</v>
      </c>
      <c r="C229" s="175" t="s">
        <v>97</v>
      </c>
      <c r="D229" s="196"/>
      <c r="E229" s="176"/>
      <c r="F229" s="176"/>
      <c r="G229" s="176">
        <v>477880</v>
      </c>
      <c r="H229" s="180"/>
      <c r="I229" s="176"/>
      <c r="J229" s="176"/>
      <c r="K229" s="278"/>
      <c r="L229" s="267"/>
      <c r="M229" s="268"/>
      <c r="N229" s="176"/>
      <c r="O229" s="269"/>
      <c r="P229" s="270"/>
      <c r="Q229" s="176"/>
      <c r="R229" s="271"/>
      <c r="S229" s="279"/>
      <c r="T229" s="268"/>
      <c r="U229" s="176"/>
      <c r="V229" s="269"/>
      <c r="W229" s="270"/>
      <c r="X229" s="176"/>
      <c r="Y229" s="271"/>
      <c r="Z229" s="280"/>
      <c r="AA229" s="281"/>
    </row>
    <row r="230" spans="2:27" s="45" customFormat="1" ht="20.25" customHeight="1" x14ac:dyDescent="0.25">
      <c r="B230" s="178" t="s">
        <v>264</v>
      </c>
      <c r="C230" s="196" t="s">
        <v>269</v>
      </c>
      <c r="D230" s="196">
        <v>45</v>
      </c>
      <c r="E230" s="176"/>
      <c r="F230" s="176"/>
      <c r="G230" s="176"/>
      <c r="H230" s="180"/>
      <c r="I230" s="176"/>
      <c r="J230" s="176"/>
      <c r="K230" s="278"/>
      <c r="L230" s="267">
        <v>99000</v>
      </c>
      <c r="M230" s="268">
        <v>1522120</v>
      </c>
      <c r="N230" s="176"/>
      <c r="O230" s="269">
        <f t="shared" si="31"/>
        <v>1522120</v>
      </c>
      <c r="P230" s="270">
        <v>1522120</v>
      </c>
      <c r="Q230" s="176"/>
      <c r="R230" s="271">
        <f t="shared" si="32"/>
        <v>1522120</v>
      </c>
      <c r="S230" s="279"/>
      <c r="T230" s="268">
        <v>580000</v>
      </c>
      <c r="U230" s="176">
        <f>942120</f>
        <v>942120</v>
      </c>
      <c r="V230" s="269">
        <f>+T230+U230</f>
        <v>1522120</v>
      </c>
      <c r="W230" s="270">
        <v>580000</v>
      </c>
      <c r="X230" s="176">
        <v>942120</v>
      </c>
      <c r="Y230" s="271">
        <f>+W230+X230</f>
        <v>1522120</v>
      </c>
      <c r="Z230" s="280"/>
      <c r="AA230" s="281"/>
    </row>
    <row r="231" spans="2:27" s="45" customFormat="1" ht="20.25" customHeight="1" x14ac:dyDescent="0.25">
      <c r="B231" s="178" t="s">
        <v>264</v>
      </c>
      <c r="C231" s="196" t="s">
        <v>270</v>
      </c>
      <c r="D231" s="196"/>
      <c r="E231" s="176"/>
      <c r="F231" s="176"/>
      <c r="G231" s="176"/>
      <c r="H231" s="180"/>
      <c r="I231" s="176"/>
      <c r="J231" s="176"/>
      <c r="K231" s="278"/>
      <c r="L231" s="267">
        <v>99000</v>
      </c>
      <c r="M231" s="268">
        <v>13500000</v>
      </c>
      <c r="N231" s="176"/>
      <c r="O231" s="269">
        <f t="shared" si="31"/>
        <v>13500000</v>
      </c>
      <c r="P231" s="270">
        <v>13500000</v>
      </c>
      <c r="Q231" s="176"/>
      <c r="R231" s="271">
        <f t="shared" si="32"/>
        <v>13500000</v>
      </c>
      <c r="S231" s="279"/>
      <c r="T231" s="268"/>
      <c r="U231" s="176">
        <v>13500000</v>
      </c>
      <c r="V231" s="269">
        <f>+T231+U231</f>
        <v>13500000</v>
      </c>
      <c r="W231" s="270"/>
      <c r="X231" s="176">
        <v>13500000</v>
      </c>
      <c r="Y231" s="271">
        <f>+W231+X231</f>
        <v>13500000</v>
      </c>
      <c r="Z231" s="280"/>
      <c r="AA231" s="281"/>
    </row>
    <row r="232" spans="2:27" s="96" customFormat="1" ht="26.25" customHeight="1" x14ac:dyDescent="0.25">
      <c r="B232" s="283" t="s">
        <v>271</v>
      </c>
      <c r="C232" s="121" t="s">
        <v>272</v>
      </c>
      <c r="D232" s="121">
        <v>1</v>
      </c>
      <c r="E232" s="122">
        <f>SUM(E236:E237)</f>
        <v>64200000</v>
      </c>
      <c r="F232" s="122">
        <f>SUM(F234:F237)</f>
        <v>14537990</v>
      </c>
      <c r="G232" s="122">
        <v>0</v>
      </c>
      <c r="H232" s="122">
        <v>0</v>
      </c>
      <c r="I232" s="122">
        <v>0</v>
      </c>
      <c r="J232" s="122">
        <f>SUM(J233:J236)</f>
        <v>10000000</v>
      </c>
      <c r="K232" s="122">
        <f>E232+F232-G232-I232+J232</f>
        <v>88737990</v>
      </c>
      <c r="L232" s="123"/>
      <c r="M232" s="125">
        <f>SUM(M234:M237)</f>
        <v>75347938</v>
      </c>
      <c r="N232" s="122">
        <f>SUM(N234:N237)</f>
        <v>13390052</v>
      </c>
      <c r="O232" s="126">
        <f>+M232+N232</f>
        <v>88737990</v>
      </c>
      <c r="P232" s="144">
        <f>SUM(P234:P237)</f>
        <v>75347938</v>
      </c>
      <c r="Q232" s="122">
        <f>SUM(Q234:Q237)</f>
        <v>13390052</v>
      </c>
      <c r="R232" s="127">
        <f t="shared" si="32"/>
        <v>88737990</v>
      </c>
      <c r="S232" s="145">
        <f>+K232-R232</f>
        <v>0</v>
      </c>
      <c r="T232" s="125">
        <f>SUM(T236:T237)</f>
        <v>75347938</v>
      </c>
      <c r="U232" s="122">
        <f>SUM(U236:U237)</f>
        <v>13390052</v>
      </c>
      <c r="V232" s="126">
        <f>+T232+U232</f>
        <v>88737990</v>
      </c>
      <c r="W232" s="144">
        <f>SUM(W234:W237)</f>
        <v>75347938</v>
      </c>
      <c r="X232" s="122">
        <f>SUM(X234:X237)</f>
        <v>13390052</v>
      </c>
      <c r="Y232" s="127">
        <f t="shared" si="5"/>
        <v>88737990</v>
      </c>
      <c r="Z232" s="171">
        <f>+U232-X232</f>
        <v>0</v>
      </c>
      <c r="AA232" s="172">
        <f>+V232-Y232</f>
        <v>0</v>
      </c>
    </row>
    <row r="233" spans="2:27" s="45" customFormat="1" ht="17.25" customHeight="1" x14ac:dyDescent="0.25">
      <c r="B233" s="173" t="s">
        <v>271</v>
      </c>
      <c r="C233" s="196" t="s">
        <v>232</v>
      </c>
      <c r="D233" s="196">
        <v>1</v>
      </c>
      <c r="E233" s="176"/>
      <c r="F233" s="176"/>
      <c r="G233" s="176"/>
      <c r="H233" s="176"/>
      <c r="I233" s="176"/>
      <c r="J233" s="176">
        <v>10000000</v>
      </c>
      <c r="K233" s="176"/>
      <c r="L233" s="267"/>
      <c r="M233" s="268"/>
      <c r="N233" s="176"/>
      <c r="O233" s="269"/>
      <c r="P233" s="270"/>
      <c r="Q233" s="176"/>
      <c r="R233" s="271"/>
      <c r="S233" s="272"/>
      <c r="T233" s="268"/>
      <c r="U233" s="176"/>
      <c r="V233" s="269"/>
      <c r="W233" s="270"/>
      <c r="X233" s="176"/>
      <c r="Y233" s="271"/>
      <c r="Z233" s="273"/>
      <c r="AA233" s="274"/>
    </row>
    <row r="234" spans="2:27" ht="17.25" customHeight="1" x14ac:dyDescent="0.25">
      <c r="B234" s="173" t="s">
        <v>271</v>
      </c>
      <c r="C234" s="131" t="s">
        <v>221</v>
      </c>
      <c r="D234" s="131">
        <v>1</v>
      </c>
      <c r="E234" s="132"/>
      <c r="F234" s="132">
        <v>12004331</v>
      </c>
      <c r="G234" s="132"/>
      <c r="H234" s="133"/>
      <c r="I234" s="132"/>
      <c r="J234" s="132"/>
      <c r="K234" s="132"/>
      <c r="L234" s="134"/>
      <c r="M234" s="135"/>
      <c r="N234" s="132"/>
      <c r="O234" s="136"/>
      <c r="P234" s="137"/>
      <c r="Q234" s="132"/>
      <c r="R234" s="138"/>
      <c r="S234" s="139"/>
      <c r="T234" s="135"/>
      <c r="U234" s="132"/>
      <c r="V234" s="136"/>
      <c r="W234" s="137"/>
      <c r="X234" s="132"/>
      <c r="Y234" s="138"/>
      <c r="Z234" s="174"/>
      <c r="AA234" s="148"/>
    </row>
    <row r="235" spans="2:27" ht="17.25" customHeight="1" x14ac:dyDescent="0.25">
      <c r="B235" s="173" t="s">
        <v>271</v>
      </c>
      <c r="C235" s="175" t="s">
        <v>97</v>
      </c>
      <c r="D235" s="131"/>
      <c r="E235" s="132"/>
      <c r="F235" s="132">
        <v>2533659</v>
      </c>
      <c r="G235" s="132"/>
      <c r="H235" s="133"/>
      <c r="I235" s="132"/>
      <c r="J235" s="132"/>
      <c r="K235" s="132"/>
      <c r="L235" s="134"/>
      <c r="M235" s="135"/>
      <c r="N235" s="132"/>
      <c r="O235" s="136"/>
      <c r="P235" s="137"/>
      <c r="Q235" s="132"/>
      <c r="R235" s="138"/>
      <c r="S235" s="139"/>
      <c r="T235" s="135"/>
      <c r="U235" s="132"/>
      <c r="V235" s="136"/>
      <c r="W235" s="137"/>
      <c r="X235" s="132"/>
      <c r="Y235" s="138"/>
      <c r="Z235" s="174"/>
      <c r="AA235" s="148"/>
    </row>
    <row r="236" spans="2:27" ht="17.25" customHeight="1" x14ac:dyDescent="0.25">
      <c r="B236" s="173" t="s">
        <v>271</v>
      </c>
      <c r="C236" s="131" t="s">
        <v>273</v>
      </c>
      <c r="D236" s="131">
        <v>1</v>
      </c>
      <c r="E236" s="132">
        <v>44940000</v>
      </c>
      <c r="F236" s="132"/>
      <c r="G236" s="132"/>
      <c r="H236" s="133"/>
      <c r="I236" s="132"/>
      <c r="J236" s="132"/>
      <c r="K236" s="132">
        <v>44940000</v>
      </c>
      <c r="L236" s="134">
        <v>63111</v>
      </c>
      <c r="M236" s="135">
        <v>53001553</v>
      </c>
      <c r="N236" s="132">
        <f>2780272+1079055+956022+956022+1079055+713265+770942+318674+359685+277515+397182</f>
        <v>9687689</v>
      </c>
      <c r="O236" s="136">
        <f>+M236+N236</f>
        <v>62689242</v>
      </c>
      <c r="P236" s="137">
        <v>53001553</v>
      </c>
      <c r="Q236" s="132">
        <f>2780272+1079055+956022+956022+1079055+713265+770942+318674+359685+277515+397182</f>
        <v>9687689</v>
      </c>
      <c r="R236" s="138">
        <f>+P236+Q236</f>
        <v>62689242</v>
      </c>
      <c r="S236" s="139"/>
      <c r="T236" s="135">
        <v>53001553</v>
      </c>
      <c r="U236" s="132">
        <v>9687689</v>
      </c>
      <c r="V236" s="136">
        <f>+T236+U236</f>
        <v>62689242</v>
      </c>
      <c r="W236" s="137">
        <v>53001553</v>
      </c>
      <c r="X236" s="132">
        <v>9687689</v>
      </c>
      <c r="Y236" s="138">
        <f>+W236+X236</f>
        <v>62689242</v>
      </c>
      <c r="Z236" s="174">
        <f t="shared" ref="Z236:AA239" si="33">+U236-X236</f>
        <v>0</v>
      </c>
      <c r="AA236" s="148">
        <f t="shared" si="33"/>
        <v>0</v>
      </c>
    </row>
    <row r="237" spans="2:27" ht="17.25" customHeight="1" x14ac:dyDescent="0.25">
      <c r="B237" s="173" t="s">
        <v>271</v>
      </c>
      <c r="C237" s="131" t="s">
        <v>274</v>
      </c>
      <c r="D237" s="131">
        <v>1</v>
      </c>
      <c r="E237" s="132">
        <v>19260000</v>
      </c>
      <c r="F237" s="132"/>
      <c r="G237" s="132"/>
      <c r="H237" s="133"/>
      <c r="I237" s="132"/>
      <c r="J237" s="132"/>
      <c r="K237" s="132">
        <v>19260000</v>
      </c>
      <c r="L237" s="134">
        <v>63311</v>
      </c>
      <c r="M237" s="135">
        <v>22346385</v>
      </c>
      <c r="N237" s="132">
        <f>1191545+462452+409724+409724+462452+356805+136575+154151+118935</f>
        <v>3702363</v>
      </c>
      <c r="O237" s="136">
        <f>+M237+N237</f>
        <v>26048748</v>
      </c>
      <c r="P237" s="137">
        <v>22346385</v>
      </c>
      <c r="Q237" s="132">
        <f>1191545+462452+409724+409724+462452+356805+136575+154151+118935</f>
        <v>3702363</v>
      </c>
      <c r="R237" s="138">
        <f t="shared" si="32"/>
        <v>26048748</v>
      </c>
      <c r="S237" s="139"/>
      <c r="T237" s="135">
        <v>22346385</v>
      </c>
      <c r="U237" s="132">
        <v>3702363</v>
      </c>
      <c r="V237" s="136">
        <f>+T237+U237</f>
        <v>26048748</v>
      </c>
      <c r="W237" s="137">
        <v>22346385</v>
      </c>
      <c r="X237" s="132">
        <v>3702363</v>
      </c>
      <c r="Y237" s="138">
        <f t="shared" si="5"/>
        <v>26048748</v>
      </c>
      <c r="Z237" s="174">
        <f t="shared" si="33"/>
        <v>0</v>
      </c>
      <c r="AA237" s="148">
        <f t="shared" si="33"/>
        <v>0</v>
      </c>
    </row>
    <row r="238" spans="2:27" s="266" customFormat="1" ht="26.25" customHeight="1" x14ac:dyDescent="0.25">
      <c r="B238" s="283" t="s">
        <v>271</v>
      </c>
      <c r="C238" s="121" t="s">
        <v>272</v>
      </c>
      <c r="D238" s="121">
        <v>45</v>
      </c>
      <c r="E238" s="122">
        <v>0</v>
      </c>
      <c r="F238" s="122">
        <f>SUM(F239:F242)</f>
        <v>15400000</v>
      </c>
      <c r="G238" s="122">
        <f>SUM(G240:G241)</f>
        <v>528600</v>
      </c>
      <c r="H238" s="122">
        <v>0</v>
      </c>
      <c r="I238" s="122">
        <v>0</v>
      </c>
      <c r="J238" s="122">
        <v>20000000</v>
      </c>
      <c r="K238" s="122">
        <f>E238+F238-G238-I238+J238</f>
        <v>34871400</v>
      </c>
      <c r="L238" s="123"/>
      <c r="M238" s="125">
        <f>SUM(M239:M242)</f>
        <v>26588270</v>
      </c>
      <c r="N238" s="122">
        <f>SUM(N239:N242)</f>
        <v>8283130</v>
      </c>
      <c r="O238" s="126">
        <f>+M238+N238</f>
        <v>34871400</v>
      </c>
      <c r="P238" s="144">
        <f>SUM(P239:P242)</f>
        <v>26588270</v>
      </c>
      <c r="Q238" s="122">
        <f>SUM(Q239:Q242)</f>
        <v>8283130</v>
      </c>
      <c r="R238" s="127">
        <f>+P238+Q238</f>
        <v>34871400</v>
      </c>
      <c r="S238" s="145">
        <f>+K238-R238</f>
        <v>0</v>
      </c>
      <c r="T238" s="125">
        <f>SUM(T239:T242)</f>
        <v>26588270</v>
      </c>
      <c r="U238" s="122">
        <f>SUM(U241:U242)</f>
        <v>8283130</v>
      </c>
      <c r="V238" s="126">
        <f>+T238+U238</f>
        <v>34871400</v>
      </c>
      <c r="W238" s="144">
        <f>SUM(W239:W242)</f>
        <v>26588270</v>
      </c>
      <c r="X238" s="122">
        <f>SUM(X239:X242)</f>
        <v>8283130</v>
      </c>
      <c r="Y238" s="127">
        <f>+W238+X238</f>
        <v>34871400</v>
      </c>
      <c r="Z238" s="171">
        <f t="shared" si="33"/>
        <v>0</v>
      </c>
      <c r="AA238" s="172">
        <f t="shared" si="33"/>
        <v>0</v>
      </c>
    </row>
    <row r="239" spans="2:27" ht="16.5" customHeight="1" x14ac:dyDescent="0.25">
      <c r="B239" s="173" t="s">
        <v>271</v>
      </c>
      <c r="C239" s="131" t="s">
        <v>221</v>
      </c>
      <c r="D239" s="208">
        <v>45</v>
      </c>
      <c r="E239" s="209"/>
      <c r="F239" s="209">
        <v>15400000</v>
      </c>
      <c r="G239" s="209"/>
      <c r="H239" s="210"/>
      <c r="I239" s="209"/>
      <c r="J239" s="209"/>
      <c r="K239" s="284"/>
      <c r="L239" s="211"/>
      <c r="M239" s="285"/>
      <c r="N239" s="286"/>
      <c r="O239" s="287"/>
      <c r="P239" s="288"/>
      <c r="Q239" s="286"/>
      <c r="R239" s="289"/>
      <c r="S239" s="290"/>
      <c r="T239" s="285"/>
      <c r="U239" s="286"/>
      <c r="V239" s="287"/>
      <c r="W239" s="288"/>
      <c r="X239" s="286"/>
      <c r="Y239" s="289"/>
      <c r="Z239" s="291">
        <f t="shared" si="33"/>
        <v>0</v>
      </c>
      <c r="AA239" s="292">
        <f t="shared" si="33"/>
        <v>0</v>
      </c>
    </row>
    <row r="240" spans="2:27" ht="16.5" customHeight="1" x14ac:dyDescent="0.25">
      <c r="B240" s="173" t="s">
        <v>271</v>
      </c>
      <c r="C240" s="175" t="s">
        <v>97</v>
      </c>
      <c r="D240" s="208"/>
      <c r="E240" s="209"/>
      <c r="F240" s="209"/>
      <c r="G240" s="209">
        <f>528600</f>
        <v>528600</v>
      </c>
      <c r="H240" s="210"/>
      <c r="I240" s="209"/>
      <c r="J240" s="209"/>
      <c r="K240" s="284"/>
      <c r="L240" s="211"/>
      <c r="M240" s="285"/>
      <c r="N240" s="286"/>
      <c r="O240" s="287"/>
      <c r="P240" s="288"/>
      <c r="Q240" s="286"/>
      <c r="R240" s="289"/>
      <c r="S240" s="290"/>
      <c r="T240" s="285"/>
      <c r="U240" s="286"/>
      <c r="V240" s="287"/>
      <c r="W240" s="288"/>
      <c r="X240" s="286"/>
      <c r="Y240" s="289"/>
      <c r="Z240" s="174"/>
      <c r="AA240" s="292"/>
    </row>
    <row r="241" spans="2:28" ht="16.5" customHeight="1" x14ac:dyDescent="0.25">
      <c r="B241" s="173" t="s">
        <v>271</v>
      </c>
      <c r="C241" s="131" t="s">
        <v>273</v>
      </c>
      <c r="D241" s="131">
        <v>45</v>
      </c>
      <c r="E241" s="132"/>
      <c r="F241" s="132"/>
      <c r="G241" s="132"/>
      <c r="H241" s="133"/>
      <c r="I241" s="132"/>
      <c r="J241" s="132"/>
      <c r="K241" s="151"/>
      <c r="L241" s="134">
        <v>63111</v>
      </c>
      <c r="M241" s="285">
        <v>18815284</v>
      </c>
      <c r="N241" s="286">
        <f>119280+743573+647535+839265+2162434+743573+310665+155815</f>
        <v>5722140</v>
      </c>
      <c r="O241" s="287">
        <f>M241+N241</f>
        <v>24537424</v>
      </c>
      <c r="P241" s="288">
        <v>18815284</v>
      </c>
      <c r="Q241" s="286">
        <f>119280+743573+647535+839265+2162434+743573+310665+155815</f>
        <v>5722140</v>
      </c>
      <c r="R241" s="289">
        <f>P241+Q241</f>
        <v>24537424</v>
      </c>
      <c r="S241" s="290"/>
      <c r="T241" s="285">
        <v>18815284</v>
      </c>
      <c r="U241" s="286">
        <v>5722140</v>
      </c>
      <c r="V241" s="287">
        <f>T241+U241</f>
        <v>24537424</v>
      </c>
      <c r="W241" s="288">
        <v>18815284</v>
      </c>
      <c r="X241" s="286">
        <v>5722140</v>
      </c>
      <c r="Y241" s="289">
        <f>W241+X241</f>
        <v>24537424</v>
      </c>
      <c r="Z241" s="174">
        <f>+U241-X241</f>
        <v>0</v>
      </c>
      <c r="AA241" s="292">
        <f>+V241-Y241</f>
        <v>0</v>
      </c>
    </row>
    <row r="242" spans="2:28" ht="16.5" customHeight="1" thickBot="1" x14ac:dyDescent="0.3">
      <c r="B242" s="173" t="s">
        <v>271</v>
      </c>
      <c r="C242" s="131" t="s">
        <v>274</v>
      </c>
      <c r="D242" s="131">
        <v>45</v>
      </c>
      <c r="E242" s="132"/>
      <c r="F242" s="132"/>
      <c r="G242" s="132"/>
      <c r="H242" s="133"/>
      <c r="I242" s="132"/>
      <c r="J242" s="132"/>
      <c r="K242" s="151"/>
      <c r="L242" s="134">
        <v>63311</v>
      </c>
      <c r="M242" s="293">
        <v>7772986</v>
      </c>
      <c r="N242" s="294">
        <f>318674+277515+359685+926757+318674+359685</f>
        <v>2560990</v>
      </c>
      <c r="O242" s="295">
        <f>M242+N242</f>
        <v>10333976</v>
      </c>
      <c r="P242" s="296">
        <v>7772986</v>
      </c>
      <c r="Q242" s="294">
        <f>318674+277515+359685+926757+318674+359685</f>
        <v>2560990</v>
      </c>
      <c r="R242" s="297">
        <f>P242+Q242</f>
        <v>10333976</v>
      </c>
      <c r="S242" s="298"/>
      <c r="T242" s="293">
        <v>7772986</v>
      </c>
      <c r="U242" s="294">
        <v>2560990</v>
      </c>
      <c r="V242" s="295">
        <f>T242+U242</f>
        <v>10333976</v>
      </c>
      <c r="W242" s="296">
        <v>7772986</v>
      </c>
      <c r="X242" s="294">
        <v>2560990</v>
      </c>
      <c r="Y242" s="297">
        <f>W242+X242</f>
        <v>10333976</v>
      </c>
      <c r="Z242" s="275"/>
      <c r="AA242" s="299"/>
    </row>
    <row r="243" spans="2:28" s="314" customFormat="1" ht="17.25" customHeight="1" thickBot="1" x14ac:dyDescent="0.3">
      <c r="B243" s="300" t="s">
        <v>275</v>
      </c>
      <c r="C243" s="301" t="s">
        <v>276</v>
      </c>
      <c r="D243" s="301"/>
      <c r="E243" s="302">
        <f t="shared" ref="E243:J243" si="34">+E252+E244</f>
        <v>3000000</v>
      </c>
      <c r="F243" s="302">
        <f>+F252+F244+F255</f>
        <v>14370089.5</v>
      </c>
      <c r="G243" s="302">
        <f t="shared" si="34"/>
        <v>32000000</v>
      </c>
      <c r="H243" s="302">
        <f t="shared" si="34"/>
        <v>0</v>
      </c>
      <c r="I243" s="302">
        <f t="shared" si="34"/>
        <v>0</v>
      </c>
      <c r="J243" s="302">
        <f t="shared" si="34"/>
        <v>19000000</v>
      </c>
      <c r="K243" s="302">
        <f>+K252+K244+K255</f>
        <v>4370089.5</v>
      </c>
      <c r="L243" s="303"/>
      <c r="M243" s="304">
        <f>+M252+M244</f>
        <v>5300000</v>
      </c>
      <c r="N243" s="305">
        <f>+N252+N244</f>
        <v>-974000</v>
      </c>
      <c r="O243" s="306">
        <f>+O252+O244</f>
        <v>0</v>
      </c>
      <c r="P243" s="307">
        <f>+P252+P244</f>
        <v>4326000</v>
      </c>
      <c r="Q243" s="305">
        <f>+Q252+Q244</f>
        <v>0</v>
      </c>
      <c r="R243" s="308">
        <f t="shared" ref="R243:R255" si="35">+Q243+P243</f>
        <v>4326000</v>
      </c>
      <c r="S243" s="309">
        <f>+K243-R243</f>
        <v>44089.5</v>
      </c>
      <c r="T243" s="304">
        <f>+T252+T244</f>
        <v>0</v>
      </c>
      <c r="U243" s="305">
        <f>+U252+U244</f>
        <v>4326000</v>
      </c>
      <c r="V243" s="310">
        <f>+T243+U243</f>
        <v>4326000</v>
      </c>
      <c r="W243" s="307">
        <f>+W252+W244</f>
        <v>0</v>
      </c>
      <c r="X243" s="305">
        <f>+X252+X244</f>
        <v>4326000</v>
      </c>
      <c r="Y243" s="308">
        <f t="shared" si="5"/>
        <v>4326000</v>
      </c>
      <c r="Z243" s="311">
        <f t="shared" ref="Z243:AA245" si="36">+U243-X243</f>
        <v>0</v>
      </c>
      <c r="AA243" s="312">
        <f t="shared" si="36"/>
        <v>0</v>
      </c>
      <c r="AB243" s="313"/>
    </row>
    <row r="244" spans="2:28" s="314" customFormat="1" ht="23.25" customHeight="1" thickBot="1" x14ac:dyDescent="0.3">
      <c r="B244" s="315" t="s">
        <v>277</v>
      </c>
      <c r="C244" s="316" t="s">
        <v>278</v>
      </c>
      <c r="D244" s="316"/>
      <c r="E244" s="317">
        <f>+E245</f>
        <v>2000000</v>
      </c>
      <c r="F244" s="317">
        <f t="shared" ref="F244:K244" si="37">+F245</f>
        <v>14326000</v>
      </c>
      <c r="G244" s="317">
        <f t="shared" si="37"/>
        <v>31000000</v>
      </c>
      <c r="H244" s="317">
        <f t="shared" si="37"/>
        <v>0</v>
      </c>
      <c r="I244" s="317">
        <f t="shared" si="37"/>
        <v>0</v>
      </c>
      <c r="J244" s="317">
        <f t="shared" si="37"/>
        <v>19000000</v>
      </c>
      <c r="K244" s="317">
        <f t="shared" si="37"/>
        <v>4326000</v>
      </c>
      <c r="L244" s="318"/>
      <c r="M244" s="319">
        <f>+M245</f>
        <v>5300000</v>
      </c>
      <c r="N244" s="317">
        <f>+N245</f>
        <v>-974000</v>
      </c>
      <c r="O244" s="320"/>
      <c r="P244" s="321">
        <f>+P245</f>
        <v>4326000</v>
      </c>
      <c r="Q244" s="317">
        <f>+Q245</f>
        <v>0</v>
      </c>
      <c r="R244" s="322">
        <f t="shared" si="35"/>
        <v>4326000</v>
      </c>
      <c r="S244" s="323">
        <f>+K244-R244</f>
        <v>0</v>
      </c>
      <c r="T244" s="319">
        <f>+T245</f>
        <v>0</v>
      </c>
      <c r="U244" s="317">
        <f>+U245</f>
        <v>4326000</v>
      </c>
      <c r="V244" s="324">
        <f>+T244+U244</f>
        <v>4326000</v>
      </c>
      <c r="W244" s="321">
        <f>+W245</f>
        <v>0</v>
      </c>
      <c r="X244" s="317">
        <f>+X245</f>
        <v>4326000</v>
      </c>
      <c r="Y244" s="322">
        <f t="shared" si="5"/>
        <v>4326000</v>
      </c>
      <c r="Z244" s="325">
        <f t="shared" si="36"/>
        <v>0</v>
      </c>
      <c r="AA244" s="326">
        <f t="shared" si="36"/>
        <v>0</v>
      </c>
    </row>
    <row r="245" spans="2:28" s="96" customFormat="1" ht="30.75" customHeight="1" thickBot="1" x14ac:dyDescent="0.3">
      <c r="B245" s="327" t="s">
        <v>279</v>
      </c>
      <c r="C245" s="328" t="s">
        <v>280</v>
      </c>
      <c r="D245" s="329">
        <v>1</v>
      </c>
      <c r="E245" s="330">
        <f>+E247</f>
        <v>2000000</v>
      </c>
      <c r="F245" s="330">
        <f>SUM(F247:F251)</f>
        <v>14326000</v>
      </c>
      <c r="G245" s="330">
        <f>SUM(G247:I250)</f>
        <v>31000000</v>
      </c>
      <c r="H245" s="330">
        <f>+H247</f>
        <v>0</v>
      </c>
      <c r="I245" s="330">
        <f>+I247</f>
        <v>0</v>
      </c>
      <c r="J245" s="330">
        <f>SUM(J246:J249)</f>
        <v>19000000</v>
      </c>
      <c r="K245" s="330">
        <f>E245+F245-G245-I245+J245</f>
        <v>4326000</v>
      </c>
      <c r="L245" s="331"/>
      <c r="M245" s="332">
        <f>SUM(M247:M251)</f>
        <v>5300000</v>
      </c>
      <c r="N245" s="330">
        <f>SUM(N247:N251)</f>
        <v>-974000</v>
      </c>
      <c r="O245" s="333">
        <f>+M245+N245</f>
        <v>4326000</v>
      </c>
      <c r="P245" s="334">
        <f>SUM(P247:P251)</f>
        <v>4326000</v>
      </c>
      <c r="Q245" s="330">
        <f>SUM(Q247:Q251)</f>
        <v>0</v>
      </c>
      <c r="R245" s="335">
        <f>+Q245+P245</f>
        <v>4326000</v>
      </c>
      <c r="S245" s="336">
        <f>+K245-R245</f>
        <v>0</v>
      </c>
      <c r="T245" s="332">
        <f>SUM(T246:T251)</f>
        <v>0</v>
      </c>
      <c r="U245" s="330">
        <f>SUM(U246:U251)</f>
        <v>4326000</v>
      </c>
      <c r="V245" s="337">
        <f>+T245+U245</f>
        <v>4326000</v>
      </c>
      <c r="W245" s="332">
        <f>SUM(W246:W251)</f>
        <v>0</v>
      </c>
      <c r="X245" s="330">
        <f>SUM(X246:X251)</f>
        <v>4326000</v>
      </c>
      <c r="Y245" s="335">
        <f t="shared" si="5"/>
        <v>4326000</v>
      </c>
      <c r="Z245" s="254">
        <f t="shared" si="36"/>
        <v>0</v>
      </c>
      <c r="AA245" s="255">
        <f t="shared" si="36"/>
        <v>0</v>
      </c>
    </row>
    <row r="246" spans="2:28" s="45" customFormat="1" ht="15.75" customHeight="1" x14ac:dyDescent="0.25">
      <c r="B246" s="338" t="s">
        <v>281</v>
      </c>
      <c r="C246" s="339" t="s">
        <v>232</v>
      </c>
      <c r="D246" s="340">
        <v>1</v>
      </c>
      <c r="E246" s="257"/>
      <c r="F246" s="257"/>
      <c r="G246" s="257"/>
      <c r="H246" s="257"/>
      <c r="I246" s="257"/>
      <c r="J246" s="257">
        <v>19000000</v>
      </c>
      <c r="K246" s="257"/>
      <c r="L246" s="258"/>
      <c r="M246" s="259"/>
      <c r="N246" s="257"/>
      <c r="O246" s="260"/>
      <c r="P246" s="341"/>
      <c r="Q246" s="342"/>
      <c r="R246" s="343"/>
      <c r="S246" s="344"/>
      <c r="T246" s="259"/>
      <c r="U246" s="257"/>
      <c r="V246" s="260"/>
      <c r="W246" s="341"/>
      <c r="X246" s="342"/>
      <c r="Y246" s="345"/>
      <c r="Z246" s="346"/>
      <c r="AA246" s="347"/>
    </row>
    <row r="247" spans="2:28" ht="19.5" customHeight="1" x14ac:dyDescent="0.25">
      <c r="B247" s="338" t="s">
        <v>281</v>
      </c>
      <c r="C247" s="348" t="s">
        <v>282</v>
      </c>
      <c r="D247" s="224">
        <v>1</v>
      </c>
      <c r="E247" s="225">
        <v>2000000</v>
      </c>
      <c r="F247" s="225">
        <v>0</v>
      </c>
      <c r="G247" s="225">
        <v>0</v>
      </c>
      <c r="H247" s="226"/>
      <c r="I247" s="225">
        <v>0</v>
      </c>
      <c r="J247" s="225">
        <v>0</v>
      </c>
      <c r="K247" s="225">
        <f>E247+F247-G247-I247+J247</f>
        <v>2000000</v>
      </c>
      <c r="L247" s="227"/>
      <c r="M247" s="228"/>
      <c r="N247" s="225">
        <v>0</v>
      </c>
      <c r="O247" s="349"/>
      <c r="P247" s="228">
        <v>0</v>
      </c>
      <c r="Q247" s="225">
        <v>0</v>
      </c>
      <c r="R247" s="350">
        <f t="shared" si="35"/>
        <v>0</v>
      </c>
      <c r="S247" s="351"/>
      <c r="T247" s="352">
        <v>0</v>
      </c>
      <c r="U247" s="225">
        <v>0</v>
      </c>
      <c r="V247" s="349">
        <f>+T247+U247</f>
        <v>0</v>
      </c>
      <c r="W247" s="228">
        <v>0</v>
      </c>
      <c r="X247" s="225">
        <v>0</v>
      </c>
      <c r="Y247" s="353">
        <f>+W247+X247</f>
        <v>0</v>
      </c>
      <c r="Z247" s="354">
        <f>+U247-X247</f>
        <v>0</v>
      </c>
      <c r="AA247" s="355">
        <f>+V247-Y247</f>
        <v>0</v>
      </c>
    </row>
    <row r="248" spans="2:28" ht="19.5" customHeight="1" x14ac:dyDescent="0.25">
      <c r="B248" s="356" t="s">
        <v>281</v>
      </c>
      <c r="C248" s="193" t="s">
        <v>116</v>
      </c>
      <c r="D248" s="131">
        <v>1</v>
      </c>
      <c r="E248" s="132"/>
      <c r="F248" s="132">
        <v>14326000</v>
      </c>
      <c r="G248" s="132"/>
      <c r="H248" s="133"/>
      <c r="I248" s="132"/>
      <c r="J248" s="132"/>
      <c r="K248" s="132"/>
      <c r="L248" s="134"/>
      <c r="M248" s="135"/>
      <c r="N248" s="132"/>
      <c r="O248" s="136"/>
      <c r="P248" s="135"/>
      <c r="Q248" s="132"/>
      <c r="R248" s="357"/>
      <c r="S248" s="358"/>
      <c r="T248" s="359"/>
      <c r="U248" s="132"/>
      <c r="V248" s="136"/>
      <c r="W248" s="135"/>
      <c r="X248" s="132"/>
      <c r="Y248" s="191"/>
      <c r="Z248" s="174"/>
      <c r="AA248" s="292"/>
    </row>
    <row r="249" spans="2:28" ht="19.5" customHeight="1" x14ac:dyDescent="0.25">
      <c r="B249" s="356" t="s">
        <v>281</v>
      </c>
      <c r="C249" s="193" t="s">
        <v>116</v>
      </c>
      <c r="D249" s="208">
        <v>1</v>
      </c>
      <c r="E249" s="209"/>
      <c r="F249" s="209"/>
      <c r="G249" s="209"/>
      <c r="H249" s="210"/>
      <c r="I249" s="209"/>
      <c r="J249" s="209"/>
      <c r="K249" s="209"/>
      <c r="L249" s="211"/>
      <c r="M249" s="212"/>
      <c r="N249" s="209"/>
      <c r="O249" s="213"/>
      <c r="P249" s="212"/>
      <c r="Q249" s="209"/>
      <c r="R249" s="360"/>
      <c r="S249" s="361"/>
      <c r="T249" s="362"/>
      <c r="U249" s="209"/>
      <c r="V249" s="213"/>
      <c r="W249" s="212"/>
      <c r="X249" s="209"/>
      <c r="Y249" s="363"/>
      <c r="Z249" s="354"/>
      <c r="AA249" s="364"/>
    </row>
    <row r="250" spans="2:28" ht="19.5" customHeight="1" x14ac:dyDescent="0.25">
      <c r="B250" s="356" t="s">
        <v>281</v>
      </c>
      <c r="C250" s="175" t="s">
        <v>97</v>
      </c>
      <c r="D250" s="208"/>
      <c r="E250" s="209"/>
      <c r="F250" s="209"/>
      <c r="G250" s="209">
        <v>31000000</v>
      </c>
      <c r="H250" s="210"/>
      <c r="I250" s="209"/>
      <c r="J250" s="209"/>
      <c r="K250" s="209"/>
      <c r="L250" s="211"/>
      <c r="M250" s="212"/>
      <c r="N250" s="209"/>
      <c r="O250" s="213"/>
      <c r="P250" s="212"/>
      <c r="Q250" s="209"/>
      <c r="R250" s="360"/>
      <c r="S250" s="361"/>
      <c r="T250" s="362"/>
      <c r="U250" s="209"/>
      <c r="V250" s="213"/>
      <c r="W250" s="212"/>
      <c r="X250" s="209"/>
      <c r="Y250" s="363"/>
      <c r="Z250" s="354"/>
      <c r="AA250" s="364"/>
    </row>
    <row r="251" spans="2:28" ht="19.5" customHeight="1" thickBot="1" x14ac:dyDescent="0.3">
      <c r="B251" s="356" t="s">
        <v>281</v>
      </c>
      <c r="C251" s="365" t="s">
        <v>283</v>
      </c>
      <c r="D251" s="208">
        <v>1</v>
      </c>
      <c r="E251" s="209"/>
      <c r="F251" s="209"/>
      <c r="G251" s="209"/>
      <c r="H251" s="210"/>
      <c r="I251" s="209"/>
      <c r="J251" s="209"/>
      <c r="K251" s="209"/>
      <c r="L251" s="211"/>
      <c r="M251" s="366">
        <v>5300000</v>
      </c>
      <c r="N251" s="367">
        <v>-974000</v>
      </c>
      <c r="O251" s="368">
        <f>M251+N251</f>
        <v>4326000</v>
      </c>
      <c r="P251" s="366">
        <v>4326000</v>
      </c>
      <c r="Q251" s="367"/>
      <c r="R251" s="368">
        <f>P251+Q251</f>
        <v>4326000</v>
      </c>
      <c r="S251" s="361"/>
      <c r="T251" s="362"/>
      <c r="U251" s="209">
        <v>4326000</v>
      </c>
      <c r="V251" s="368">
        <f>T251+U251</f>
        <v>4326000</v>
      </c>
      <c r="W251" s="366"/>
      <c r="X251" s="367">
        <v>4326000</v>
      </c>
      <c r="Y251" s="369">
        <f>W251+X251</f>
        <v>4326000</v>
      </c>
      <c r="Z251" s="354"/>
      <c r="AA251" s="364"/>
    </row>
    <row r="252" spans="2:28" s="96" customFormat="1" ht="15.75" thickBot="1" x14ac:dyDescent="0.3">
      <c r="B252" s="370" t="s">
        <v>284</v>
      </c>
      <c r="C252" s="371" t="s">
        <v>285</v>
      </c>
      <c r="D252" s="235"/>
      <c r="E252" s="236">
        <f t="shared" ref="E252:K255" si="38">+E253</f>
        <v>1000000</v>
      </c>
      <c r="F252" s="236">
        <f t="shared" si="38"/>
        <v>0</v>
      </c>
      <c r="G252" s="236">
        <f t="shared" si="38"/>
        <v>1000000</v>
      </c>
      <c r="H252" s="236">
        <f t="shared" si="38"/>
        <v>0</v>
      </c>
      <c r="I252" s="236">
        <f t="shared" si="38"/>
        <v>0</v>
      </c>
      <c r="J252" s="236">
        <f t="shared" si="38"/>
        <v>0</v>
      </c>
      <c r="K252" s="236">
        <f t="shared" si="38"/>
        <v>0</v>
      </c>
      <c r="L252" s="237"/>
      <c r="M252" s="238">
        <f t="shared" ref="M252:Q255" si="39">+M253</f>
        <v>0</v>
      </c>
      <c r="N252" s="236">
        <f t="shared" si="39"/>
        <v>0</v>
      </c>
      <c r="O252" s="239">
        <f t="shared" si="39"/>
        <v>0</v>
      </c>
      <c r="P252" s="238">
        <f t="shared" si="39"/>
        <v>0</v>
      </c>
      <c r="Q252" s="236">
        <f t="shared" si="39"/>
        <v>0</v>
      </c>
      <c r="R252" s="239">
        <f t="shared" si="35"/>
        <v>0</v>
      </c>
      <c r="S252" s="372">
        <f>+K252-R252</f>
        <v>0</v>
      </c>
      <c r="T252" s="238">
        <f>+T253</f>
        <v>0</v>
      </c>
      <c r="U252" s="236">
        <f>+U253</f>
        <v>0</v>
      </c>
      <c r="V252" s="373">
        <f>+T252+U252</f>
        <v>0</v>
      </c>
      <c r="W252" s="240">
        <f>+W253</f>
        <v>0</v>
      </c>
      <c r="X252" s="236">
        <f>+X253</f>
        <v>0</v>
      </c>
      <c r="Y252" s="241">
        <f>+W252+X252</f>
        <v>0</v>
      </c>
      <c r="Z252" s="243">
        <f t="shared" ref="Z252:AA255" si="40">+U252-X252</f>
        <v>0</v>
      </c>
      <c r="AA252" s="244">
        <f t="shared" si="40"/>
        <v>0</v>
      </c>
    </row>
    <row r="253" spans="2:28" s="314" customFormat="1" ht="15.75" thickBot="1" x14ac:dyDescent="0.3">
      <c r="B253" s="374" t="s">
        <v>286</v>
      </c>
      <c r="C253" s="375" t="s">
        <v>287</v>
      </c>
      <c r="D253" s="375">
        <v>1</v>
      </c>
      <c r="E253" s="376">
        <f t="shared" si="38"/>
        <v>1000000</v>
      </c>
      <c r="F253" s="376">
        <f t="shared" si="38"/>
        <v>0</v>
      </c>
      <c r="G253" s="376">
        <f t="shared" si="38"/>
        <v>1000000</v>
      </c>
      <c r="H253" s="376">
        <f t="shared" si="38"/>
        <v>0</v>
      </c>
      <c r="I253" s="376">
        <f t="shared" si="38"/>
        <v>0</v>
      </c>
      <c r="J253" s="376">
        <f t="shared" si="38"/>
        <v>0</v>
      </c>
      <c r="K253" s="376">
        <f t="shared" si="38"/>
        <v>0</v>
      </c>
      <c r="L253" s="377"/>
      <c r="M253" s="378">
        <f t="shared" si="39"/>
        <v>0</v>
      </c>
      <c r="N253" s="376">
        <f t="shared" si="39"/>
        <v>0</v>
      </c>
      <c r="O253" s="379">
        <f t="shared" si="39"/>
        <v>0</v>
      </c>
      <c r="P253" s="380">
        <f t="shared" si="39"/>
        <v>0</v>
      </c>
      <c r="Q253" s="376">
        <f t="shared" si="39"/>
        <v>0</v>
      </c>
      <c r="R253" s="381">
        <f t="shared" si="35"/>
        <v>0</v>
      </c>
      <c r="S253" s="382">
        <f>+K253-R253</f>
        <v>0</v>
      </c>
      <c r="T253" s="378">
        <f>+T254</f>
        <v>0</v>
      </c>
      <c r="U253" s="376">
        <f>SUM(U254)</f>
        <v>0</v>
      </c>
      <c r="V253" s="383">
        <f>+T253+U253</f>
        <v>0</v>
      </c>
      <c r="W253" s="380">
        <f>+W254</f>
        <v>0</v>
      </c>
      <c r="X253" s="376">
        <f>+X254</f>
        <v>0</v>
      </c>
      <c r="Y253" s="381">
        <f>+W253+X253</f>
        <v>0</v>
      </c>
      <c r="Z253" s="384">
        <f t="shared" si="40"/>
        <v>0</v>
      </c>
      <c r="AA253" s="385">
        <f t="shared" si="40"/>
        <v>0</v>
      </c>
    </row>
    <row r="254" spans="2:28" ht="18" customHeight="1" thickBot="1" x14ac:dyDescent="0.3">
      <c r="B254" s="386" t="s">
        <v>288</v>
      </c>
      <c r="C254" s="387" t="s">
        <v>289</v>
      </c>
      <c r="D254" s="387">
        <v>1</v>
      </c>
      <c r="E254" s="388">
        <v>1000000</v>
      </c>
      <c r="F254" s="388">
        <v>0</v>
      </c>
      <c r="G254" s="388">
        <v>1000000</v>
      </c>
      <c r="H254" s="389">
        <v>0</v>
      </c>
      <c r="I254" s="388">
        <v>0</v>
      </c>
      <c r="J254" s="388">
        <v>0</v>
      </c>
      <c r="K254" s="390">
        <f>E254+F254-G254-I254+J254</f>
        <v>0</v>
      </c>
      <c r="L254" s="391"/>
      <c r="M254" s="388"/>
      <c r="N254" s="388">
        <v>0</v>
      </c>
      <c r="O254" s="388"/>
      <c r="P254" s="388">
        <v>0</v>
      </c>
      <c r="Q254" s="388">
        <v>0</v>
      </c>
      <c r="R254" s="392">
        <f t="shared" si="35"/>
        <v>0</v>
      </c>
      <c r="S254" s="388">
        <f>+K254-R254</f>
        <v>0</v>
      </c>
      <c r="T254" s="392">
        <v>0</v>
      </c>
      <c r="U254" s="388">
        <v>0</v>
      </c>
      <c r="V254" s="388">
        <f>+T254+U254</f>
        <v>0</v>
      </c>
      <c r="W254" s="388">
        <v>0</v>
      </c>
      <c r="X254" s="388">
        <v>0</v>
      </c>
      <c r="Y254" s="393">
        <f>+W254+X254</f>
        <v>0</v>
      </c>
      <c r="Z254" s="394">
        <f t="shared" si="40"/>
        <v>0</v>
      </c>
      <c r="AA254" s="395">
        <f t="shared" si="40"/>
        <v>0</v>
      </c>
    </row>
    <row r="255" spans="2:28" ht="15.75" thickBot="1" x14ac:dyDescent="0.3">
      <c r="B255" s="396" t="s">
        <v>290</v>
      </c>
      <c r="C255" s="397" t="s">
        <v>291</v>
      </c>
      <c r="D255" s="397"/>
      <c r="E255" s="302">
        <f t="shared" si="38"/>
        <v>0</v>
      </c>
      <c r="F255" s="302">
        <f t="shared" si="38"/>
        <v>44089.5</v>
      </c>
      <c r="G255" s="302">
        <f t="shared" si="38"/>
        <v>0</v>
      </c>
      <c r="H255" s="398"/>
      <c r="I255" s="399"/>
      <c r="J255" s="302">
        <f t="shared" si="38"/>
        <v>0</v>
      </c>
      <c r="K255" s="236">
        <f>E255+F255-G255-I255+J255</f>
        <v>44089.5</v>
      </c>
      <c r="L255" s="400"/>
      <c r="M255" s="401">
        <f t="shared" si="39"/>
        <v>0</v>
      </c>
      <c r="N255" s="302">
        <f t="shared" si="39"/>
        <v>44089.5</v>
      </c>
      <c r="O255" s="239">
        <f>+M255+N255</f>
        <v>44089.5</v>
      </c>
      <c r="P255" s="402">
        <f t="shared" si="39"/>
        <v>0</v>
      </c>
      <c r="Q255" s="302">
        <f t="shared" si="39"/>
        <v>44089.5</v>
      </c>
      <c r="R255" s="403">
        <f t="shared" si="35"/>
        <v>44089.5</v>
      </c>
      <c r="S255" s="404">
        <f>+K255-R255</f>
        <v>0</v>
      </c>
      <c r="T255" s="401">
        <f>+T256</f>
        <v>0</v>
      </c>
      <c r="U255" s="302">
        <f>SUM(U256)</f>
        <v>44089.5</v>
      </c>
      <c r="V255" s="405">
        <f>+T255+U255</f>
        <v>44089.5</v>
      </c>
      <c r="W255" s="402">
        <f>+W256</f>
        <v>0</v>
      </c>
      <c r="X255" s="302">
        <f>+X256</f>
        <v>44089.5</v>
      </c>
      <c r="Y255" s="403">
        <f>+W255+X255</f>
        <v>44089.5</v>
      </c>
      <c r="Z255" s="406">
        <f t="shared" si="40"/>
        <v>0</v>
      </c>
      <c r="AA255" s="407">
        <f t="shared" si="40"/>
        <v>0</v>
      </c>
    </row>
    <row r="256" spans="2:28" ht="18" customHeight="1" thickBot="1" x14ac:dyDescent="0.3">
      <c r="B256" s="408" t="s">
        <v>292</v>
      </c>
      <c r="C256" s="409" t="s">
        <v>293</v>
      </c>
      <c r="D256" s="409">
        <v>1</v>
      </c>
      <c r="E256" s="367"/>
      <c r="F256" s="367">
        <v>44089.5</v>
      </c>
      <c r="G256" s="367"/>
      <c r="H256" s="410"/>
      <c r="I256" s="367"/>
      <c r="J256" s="367"/>
      <c r="K256" s="411"/>
      <c r="L256" s="412"/>
      <c r="M256" s="367"/>
      <c r="N256" s="367">
        <v>44089.5</v>
      </c>
      <c r="O256" s="367"/>
      <c r="P256" s="367"/>
      <c r="Q256" s="367">
        <v>44089.5</v>
      </c>
      <c r="R256" s="413"/>
      <c r="S256" s="367"/>
      <c r="T256" s="413"/>
      <c r="U256" s="367">
        <v>44089.5</v>
      </c>
      <c r="V256" s="367"/>
      <c r="W256" s="367"/>
      <c r="X256" s="367">
        <v>44089.5</v>
      </c>
      <c r="Y256" s="414"/>
      <c r="Z256" s="415"/>
      <c r="AA256" s="299"/>
    </row>
    <row r="257" spans="2:27" x14ac:dyDescent="0.25">
      <c r="B257" s="416"/>
      <c r="C257" s="417"/>
      <c r="D257" s="418"/>
      <c r="E257" s="419"/>
      <c r="F257" s="420"/>
      <c r="G257" s="420"/>
      <c r="H257" s="421"/>
      <c r="I257" s="420"/>
      <c r="J257" s="422"/>
      <c r="K257" s="423"/>
      <c r="L257" s="424"/>
      <c r="M257" s="425"/>
      <c r="N257" s="419"/>
      <c r="O257" s="419"/>
      <c r="P257" s="419"/>
      <c r="Q257" s="419"/>
      <c r="R257" s="426"/>
      <c r="S257" s="426"/>
      <c r="T257" s="426"/>
      <c r="U257" s="419"/>
      <c r="V257" s="419"/>
      <c r="W257" s="419"/>
      <c r="X257" s="419"/>
      <c r="Y257" s="426"/>
      <c r="Z257" s="426"/>
      <c r="AA257" s="426"/>
    </row>
    <row r="258" spans="2:27" s="427" customFormat="1" ht="13.5" x14ac:dyDescent="0.25">
      <c r="B258" s="428"/>
      <c r="C258" s="428"/>
      <c r="D258" s="428"/>
      <c r="E258" s="429">
        <f>E253+E245+E232+E220+E180+E172+E156+E131+E60+E42+E35+E23+E19+E13+E238+E227+E214+E164</f>
        <v>1567958428</v>
      </c>
      <c r="F258" s="429">
        <f>F253+F245+F232+F220+F180+F172+F156+F131+F60+F42+F35+F23+F19+F13+F238+F227+F214+F164+F255</f>
        <v>270394076.5</v>
      </c>
      <c r="G258" s="429">
        <f>G253+G245+G232+G220+G180+G172+G156+G131+G60+G42+G35+G23+G19+G13+G164+G238+G227+G214+G255</f>
        <v>270394077.10000002</v>
      </c>
      <c r="H258" s="429">
        <f>H253+H245+H232+H220+H180+H172+H156+H131+H60+H42+H35+H23+H19+H13</f>
        <v>0</v>
      </c>
      <c r="I258" s="429">
        <f>I253+I245+I232+I220+I180+I172+I156+I131+I60+I42+I35+I23+I19+I13</f>
        <v>0</v>
      </c>
      <c r="J258" s="429">
        <f>J253+J245+J232+J220+J180+J172+J156+J131+J60+J42+J35+J23+J19+J13+J238+J214+J164</f>
        <v>463268915</v>
      </c>
      <c r="K258" s="429">
        <f>K253+K245+K232+K220+K180+K172+K156+K131+K60+K42+K35+K23+K19+K13+K238+K214+K164+K227</f>
        <v>2031183252.9000001</v>
      </c>
      <c r="L258" s="430"/>
      <c r="M258" s="429">
        <f>M253+M245+M232+M220+M180+M172+M156+M131+M60+M42+M35+M23+M19+M13+M238+M214+M164+M227</f>
        <v>1532252240</v>
      </c>
      <c r="N258" s="429">
        <f>N253+N245+N238+N232+N220+N214+N180+N172+N164+N156+N131+N60+N42+N35+N23+N19+N13+N227+N255</f>
        <v>464949036.5</v>
      </c>
      <c r="O258" s="429">
        <f>O255+O253+O245+O238+O232+O227+O220+O214+O180+O172+O164+O156+O131+O60+O42+O35+O23+O19+O13</f>
        <v>1997201276.5</v>
      </c>
      <c r="P258" s="429">
        <f>P253+P245+P232+P220+P180+P172+P156+P131+P60+P42+P35+P23+P19+P13+P238+P214+P164+P227</f>
        <v>1522998887</v>
      </c>
      <c r="Q258" s="429">
        <f>Q253+Q245+Q238+Q232+Q220+Q214+Q180+Q172+Q164+Q156+Q131+Q60+Q42+Q35+Q23+Q19+Q13+Q227+Q255</f>
        <v>474202389.5</v>
      </c>
      <c r="R258" s="429">
        <f>R253+R245+R238+R232+R227+R220+R214+R180+R172+R164+R156+R131+R60+R42+R35+R23+R19+R13+R255</f>
        <v>1997201276.5</v>
      </c>
      <c r="S258" s="429">
        <f>S253+S245+S232+S220+S180+S172+S156+S131+S60+S42+S35+S23+S19+S13+S238+S227+S214+S164</f>
        <v>34026065.900000021</v>
      </c>
      <c r="T258" s="429">
        <f>T253+T245+T232+T220+T180+T172+T156+T131+T60+T42+T35+T23+T19+T13+T238+T214+T164+T227</f>
        <v>1405464215</v>
      </c>
      <c r="U258" s="429">
        <f>U253+U245+U238+U232+U227+U220+U214+U180+U172+U164+U156+U131+U60+U42+U35+U23+U19+U13+U255</f>
        <v>539645812.5</v>
      </c>
      <c r="V258" s="429">
        <f>V253+V245+V238+V232+V227+V220+V214+V180+V172+V164+V156+V131+V60+V42+V35+V23+V19+V13</f>
        <v>1945065938</v>
      </c>
      <c r="W258" s="429">
        <f>W253+W245+W232+W220+W180+W172+W156+W131+W60+W42+W35+W23+W19+W13+W238+W214+W164+W227</f>
        <v>1405464215</v>
      </c>
      <c r="X258" s="429">
        <f>X253+X245+X238+X232+X227+X220+X214+X180+X172+X164+X156+X131+X60+X42+X35+X23+X19+X13+X255</f>
        <v>466957879.5</v>
      </c>
      <c r="Y258" s="429">
        <f>Y253+Y245+Y238+Y232+Y227+Y220+Y214+Y180+Y172+Y164+Y156+Y131+Y60+Y42+Y35+Y23+Y19+Y13+Y255</f>
        <v>1872422094.5</v>
      </c>
      <c r="Z258" s="431">
        <f>Z253+Z245+Z232+Z223+Z190+Z187+Z180+Z174+Z160+Z155+Z131+Z77+Z73+Z64</f>
        <v>48140000</v>
      </c>
      <c r="AA258" s="431">
        <f>AA253+AA245+AA232+AA223+AA190+AA187+AA180+AA174+AA160+AA155+AA131+AA77+AA73+AA64</f>
        <v>96064140</v>
      </c>
    </row>
    <row r="259" spans="2:27" s="432" customFormat="1" ht="12.75" customHeight="1" x14ac:dyDescent="0.25">
      <c r="B259" s="433"/>
      <c r="C259" s="434"/>
      <c r="D259" s="434"/>
      <c r="E259" s="434"/>
      <c r="F259" s="434"/>
      <c r="G259" s="435"/>
      <c r="H259" s="435"/>
      <c r="I259" s="435"/>
      <c r="J259" s="435"/>
      <c r="K259" s="436"/>
      <c r="L259" s="437"/>
      <c r="M259" s="438"/>
      <c r="N259" s="435"/>
      <c r="O259" s="435"/>
      <c r="P259" s="439"/>
      <c r="Q259" s="440"/>
      <c r="R259" s="435"/>
      <c r="S259" s="435"/>
      <c r="T259" s="435"/>
      <c r="U259" s="435"/>
      <c r="V259" s="435"/>
      <c r="W259" s="435"/>
      <c r="X259" s="435"/>
      <c r="Y259" s="435"/>
      <c r="Z259" s="435"/>
      <c r="AA259" s="435"/>
    </row>
    <row r="260" spans="2:27" s="432" customFormat="1" ht="12.75" customHeight="1" x14ac:dyDescent="0.25">
      <c r="B260" s="433"/>
      <c r="C260" s="441"/>
      <c r="D260" s="441"/>
      <c r="E260" s="441"/>
      <c r="F260" s="441"/>
      <c r="G260" s="435"/>
      <c r="H260" s="435"/>
      <c r="I260" s="435"/>
      <c r="J260" s="435"/>
      <c r="K260" s="436"/>
      <c r="L260" s="437"/>
      <c r="M260" s="438"/>
      <c r="N260" s="435"/>
      <c r="O260" s="435"/>
      <c r="P260" s="439"/>
      <c r="Q260" s="440"/>
      <c r="R260" s="435"/>
      <c r="S260" s="435"/>
      <c r="T260" s="435"/>
      <c r="U260" s="435"/>
      <c r="V260" s="435"/>
      <c r="W260" s="435"/>
      <c r="X260" s="435"/>
      <c r="Y260" s="435"/>
      <c r="Z260" s="435"/>
      <c r="AA260" s="435"/>
    </row>
    <row r="261" spans="2:27" s="432" customFormat="1" ht="12.75" customHeight="1" x14ac:dyDescent="0.25">
      <c r="B261" s="433"/>
      <c r="C261" s="442"/>
      <c r="D261" s="441"/>
      <c r="E261" s="441"/>
      <c r="F261" s="441"/>
      <c r="G261" s="435"/>
      <c r="H261" s="435"/>
      <c r="I261" s="435"/>
      <c r="J261" s="435"/>
      <c r="K261" s="436"/>
      <c r="L261" s="437"/>
      <c r="M261" s="443"/>
      <c r="N261" s="443"/>
      <c r="O261" s="443"/>
      <c r="P261" s="443"/>
      <c r="Q261" s="443"/>
      <c r="R261" s="443"/>
      <c r="S261" s="443"/>
      <c r="T261" s="443"/>
      <c r="U261" s="443"/>
      <c r="V261" s="443"/>
      <c r="W261" s="443"/>
      <c r="X261" s="443"/>
      <c r="Y261" s="443"/>
      <c r="Z261" s="435"/>
      <c r="AA261" s="435"/>
    </row>
    <row r="262" spans="2:27" s="432" customFormat="1" ht="12.75" customHeight="1" x14ac:dyDescent="0.25">
      <c r="B262" s="433"/>
      <c r="C262" s="442"/>
      <c r="D262" s="441"/>
      <c r="E262" s="444"/>
      <c r="F262" s="441"/>
      <c r="G262" s="435"/>
      <c r="H262" s="435"/>
      <c r="I262" s="435"/>
      <c r="J262" s="435"/>
      <c r="K262" s="436"/>
      <c r="L262" s="437"/>
      <c r="M262" s="438"/>
      <c r="N262" s="435"/>
      <c r="O262" s="435"/>
      <c r="P262" s="439"/>
      <c r="Q262" s="440"/>
      <c r="R262" s="435"/>
      <c r="S262" s="435"/>
      <c r="T262" s="435"/>
      <c r="U262" s="435"/>
      <c r="V262" s="435"/>
      <c r="W262" s="435"/>
      <c r="X262" s="435"/>
      <c r="Y262" s="435"/>
      <c r="Z262" s="439"/>
      <c r="AA262" s="439"/>
    </row>
    <row r="263" spans="2:27" ht="35.25" customHeight="1" x14ac:dyDescent="0.25">
      <c r="C263" s="445"/>
      <c r="D263" s="445"/>
      <c r="E263" s="445"/>
      <c r="F263" s="445"/>
      <c r="G263" s="446"/>
      <c r="H263" s="446"/>
      <c r="I263" s="446"/>
      <c r="J263" s="445"/>
      <c r="K263" s="445"/>
      <c r="L263" s="445"/>
      <c r="M263" s="445"/>
      <c r="N263" s="446"/>
      <c r="O263" s="447"/>
      <c r="P263" s="446"/>
      <c r="Q263" s="446"/>
      <c r="R263" s="448"/>
      <c r="S263" s="446"/>
      <c r="T263" s="446"/>
      <c r="U263" s="446"/>
      <c r="V263" s="446"/>
      <c r="W263" s="446"/>
      <c r="X263" s="446"/>
      <c r="Y263" s="446"/>
      <c r="Z263" s="446"/>
      <c r="AA263" s="446"/>
    </row>
    <row r="264" spans="2:27" s="449" customFormat="1" ht="18.75" x14ac:dyDescent="0.3">
      <c r="B264" s="450"/>
      <c r="C264" s="451" t="s">
        <v>294</v>
      </c>
      <c r="D264" s="451"/>
      <c r="E264" s="451"/>
      <c r="F264" s="452"/>
      <c r="G264" s="452"/>
      <c r="H264" s="452"/>
      <c r="I264" s="452"/>
      <c r="J264" s="453" t="s">
        <v>295</v>
      </c>
      <c r="K264" s="453"/>
      <c r="L264" s="453"/>
      <c r="M264" s="453"/>
      <c r="N264" s="452"/>
      <c r="O264" s="452"/>
      <c r="P264" s="452"/>
      <c r="Q264" s="452"/>
      <c r="R264" s="452"/>
      <c r="S264" s="452"/>
      <c r="T264" s="452"/>
      <c r="U264" s="452"/>
      <c r="V264" s="452"/>
      <c r="W264" s="452"/>
      <c r="X264" s="452"/>
      <c r="Y264" s="452"/>
    </row>
    <row r="265" spans="2:27" s="449" customFormat="1" ht="18.75" x14ac:dyDescent="0.3">
      <c r="B265" s="450"/>
      <c r="C265" s="454" t="s">
        <v>296</v>
      </c>
      <c r="D265" s="454"/>
      <c r="E265" s="454"/>
      <c r="J265" s="454" t="s">
        <v>297</v>
      </c>
      <c r="K265" s="454"/>
      <c r="L265" s="454"/>
      <c r="M265" s="454"/>
      <c r="O265" s="455"/>
      <c r="S265" s="452"/>
    </row>
    <row r="266" spans="2:27" x14ac:dyDescent="0.25">
      <c r="D266" s="446"/>
      <c r="E266" s="446"/>
      <c r="F266" s="446"/>
      <c r="G266" s="446"/>
      <c r="H266" s="446"/>
      <c r="I266" s="446"/>
      <c r="J266" s="446"/>
      <c r="K266" s="457"/>
      <c r="M266" s="459"/>
      <c r="N266" s="446"/>
      <c r="O266" s="446"/>
      <c r="P266" s="446"/>
      <c r="Q266" s="446"/>
      <c r="R266" s="448"/>
      <c r="S266" s="448"/>
      <c r="T266" s="446"/>
      <c r="U266" s="446"/>
      <c r="V266" s="446"/>
      <c r="W266" s="446"/>
      <c r="X266" s="446"/>
      <c r="Y266" s="446"/>
      <c r="Z266" s="446"/>
      <c r="AA266" s="446"/>
    </row>
    <row r="267" spans="2:27" x14ac:dyDescent="0.25">
      <c r="S267" s="462"/>
    </row>
  </sheetData>
  <mergeCells count="37">
    <mergeCell ref="C265:E265"/>
    <mergeCell ref="J265:M265"/>
    <mergeCell ref="B258:D258"/>
    <mergeCell ref="C259:F259"/>
    <mergeCell ref="C263:F263"/>
    <mergeCell ref="J263:M263"/>
    <mergeCell ref="C264:E264"/>
    <mergeCell ref="J264:M264"/>
    <mergeCell ref="S5:S6"/>
    <mergeCell ref="T5:V5"/>
    <mergeCell ref="W5:Y5"/>
    <mergeCell ref="Z5:Z6"/>
    <mergeCell ref="AA5:AA6"/>
    <mergeCell ref="F6:F7"/>
    <mergeCell ref="G6:G7"/>
    <mergeCell ref="H6:H7"/>
    <mergeCell ref="I6:I7"/>
    <mergeCell ref="J6:J7"/>
    <mergeCell ref="Y4:AA4"/>
    <mergeCell ref="B5:B6"/>
    <mergeCell ref="C5:C6"/>
    <mergeCell ref="D5:D6"/>
    <mergeCell ref="E5:E6"/>
    <mergeCell ref="F5:J5"/>
    <mergeCell ref="K5:K6"/>
    <mergeCell ref="L5:L6"/>
    <mergeCell ref="M5:O5"/>
    <mergeCell ref="P5:R5"/>
    <mergeCell ref="B1:AA1"/>
    <mergeCell ref="B2:G2"/>
    <mergeCell ref="H2:J2"/>
    <mergeCell ref="K2:N2"/>
    <mergeCell ref="Q2:AA2"/>
    <mergeCell ref="B3:G3"/>
    <mergeCell ref="H3:J3"/>
    <mergeCell ref="K3:N3"/>
    <mergeCell ref="Q3:AA3"/>
  </mergeCells>
  <pageMargins left="0.25" right="0.25" top="0.75" bottom="0.75" header="0.3" footer="0.3"/>
  <pageSetup paperSize="5" scale="42" fitToWidth="0" fitToHeight="0" orientation="landscape" r:id="rId1"/>
  <rowBreaks count="1" manualBreakCount="1">
    <brk id="25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FISCAL</dc:creator>
  <cp:lastModifiedBy>CONTROL FISCAL</cp:lastModifiedBy>
  <dcterms:created xsi:type="dcterms:W3CDTF">2024-02-07T22:32:48Z</dcterms:created>
  <dcterms:modified xsi:type="dcterms:W3CDTF">2024-02-07T22:37:34Z</dcterms:modified>
</cp:coreProperties>
</file>